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7235" windowHeight="6210" activeTab="5"/>
  </bookViews>
  <sheets>
    <sheet name="stoupání" sheetId="2" r:id="rId1"/>
    <sheet name="ASW15B" sheetId="1" r:id="rId2"/>
    <sheet name="Std Cirrus" sheetId="6" r:id="rId3"/>
    <sheet name="Astir CS G-102" sheetId="7" r:id="rId4"/>
    <sheet name="Nimbus 2 bez vody" sheetId="5" r:id="rId5"/>
    <sheet name="Nimbus 2 voda" sheetId="4" r:id="rId6"/>
    <sheet name="Duodiscus 2 bez vody" sheetId="8" r:id="rId7"/>
    <sheet name="Duodiscus s vodou" sheetId="9" r:id="rId8"/>
  </sheets>
  <calcPr calcId="145621"/>
</workbook>
</file>

<file path=xl/calcChain.xml><?xml version="1.0" encoding="utf-8"?>
<calcChain xmlns="http://schemas.openxmlformats.org/spreadsheetml/2006/main">
  <c r="K17" i="9" l="1"/>
  <c r="K5" i="9"/>
  <c r="K11" i="9"/>
  <c r="K12" i="9" s="1"/>
  <c r="K6" i="9" s="1"/>
  <c r="K7" i="9" s="1"/>
  <c r="J17" i="9"/>
  <c r="I17" i="9"/>
  <c r="H17" i="9"/>
  <c r="G17" i="9"/>
  <c r="F17" i="9"/>
  <c r="E17" i="9"/>
  <c r="D17" i="9"/>
  <c r="E6" i="9"/>
  <c r="F6" i="9"/>
  <c r="G6" i="9"/>
  <c r="G7" i="9" s="1"/>
  <c r="H6" i="9"/>
  <c r="I6" i="9"/>
  <c r="J6" i="9"/>
  <c r="D6" i="9"/>
  <c r="D7" i="9" s="1"/>
  <c r="D13" i="9"/>
  <c r="D3" i="9" s="1"/>
  <c r="D14" i="9" s="1"/>
  <c r="J12" i="9"/>
  <c r="J7" i="9" s="1"/>
  <c r="H12" i="9"/>
  <c r="G12" i="9"/>
  <c r="F12" i="9"/>
  <c r="F7" i="9" s="1"/>
  <c r="D12" i="9"/>
  <c r="J11" i="9"/>
  <c r="I11" i="9"/>
  <c r="I12" i="9" s="1"/>
  <c r="H11" i="9"/>
  <c r="G11" i="9"/>
  <c r="F11" i="9"/>
  <c r="E11" i="9"/>
  <c r="E12" i="9" s="1"/>
  <c r="D11" i="9"/>
  <c r="H7" i="9"/>
  <c r="E5" i="9"/>
  <c r="F5" i="9" s="1"/>
  <c r="F13" i="9" s="1"/>
  <c r="F3" i="9" s="1"/>
  <c r="F14" i="9" s="1"/>
  <c r="J17" i="8"/>
  <c r="I17" i="8"/>
  <c r="H17" i="8"/>
  <c r="G17" i="8"/>
  <c r="F17" i="8"/>
  <c r="E17" i="8"/>
  <c r="D17" i="8"/>
  <c r="E6" i="8"/>
  <c r="F6" i="8"/>
  <c r="G6" i="8"/>
  <c r="H6" i="8"/>
  <c r="I6" i="8"/>
  <c r="J6" i="8"/>
  <c r="D6" i="8"/>
  <c r="J12" i="8"/>
  <c r="H12" i="8"/>
  <c r="F12" i="8"/>
  <c r="F7" i="8" s="1"/>
  <c r="D12" i="8"/>
  <c r="D13" i="8" s="1"/>
  <c r="D3" i="8" s="1"/>
  <c r="D14" i="8" s="1"/>
  <c r="J11" i="8"/>
  <c r="I11" i="8"/>
  <c r="I12" i="8" s="1"/>
  <c r="I7" i="8" s="1"/>
  <c r="H11" i="8"/>
  <c r="G11" i="8"/>
  <c r="G12" i="8" s="1"/>
  <c r="G7" i="8" s="1"/>
  <c r="F11" i="8"/>
  <c r="E11" i="8"/>
  <c r="E12" i="8" s="1"/>
  <c r="D11" i="8"/>
  <c r="F5" i="8"/>
  <c r="G5" i="8" s="1"/>
  <c r="E5" i="8"/>
  <c r="K13" i="9" l="1"/>
  <c r="K3" i="9" s="1"/>
  <c r="K14" i="9" s="1"/>
  <c r="K15" i="9" s="1"/>
  <c r="I7" i="9"/>
  <c r="E13" i="9"/>
  <c r="E3" i="9" s="1"/>
  <c r="E14" i="9" s="1"/>
  <c r="E7" i="9"/>
  <c r="F15" i="9"/>
  <c r="F16" i="9"/>
  <c r="F18" i="9" s="1"/>
  <c r="F19" i="9" s="1"/>
  <c r="D15" i="9"/>
  <c r="D16" i="9"/>
  <c r="D18" i="9" s="1"/>
  <c r="D19" i="9" s="1"/>
  <c r="G5" i="9"/>
  <c r="J7" i="8"/>
  <c r="H7" i="8"/>
  <c r="G13" i="8"/>
  <c r="G3" i="8" s="1"/>
  <c r="G14" i="8" s="1"/>
  <c r="H5" i="8"/>
  <c r="D15" i="8"/>
  <c r="D16" i="8"/>
  <c r="D18" i="8" s="1"/>
  <c r="D19" i="8" s="1"/>
  <c r="E13" i="8"/>
  <c r="E3" i="8" s="1"/>
  <c r="E14" i="8" s="1"/>
  <c r="E7" i="8"/>
  <c r="F13" i="8"/>
  <c r="F3" i="8" s="1"/>
  <c r="F14" i="8" s="1"/>
  <c r="D7" i="8"/>
  <c r="J6" i="7"/>
  <c r="I6" i="7"/>
  <c r="H6" i="7"/>
  <c r="H7" i="7" s="1"/>
  <c r="H17" i="7" s="1"/>
  <c r="G6" i="7"/>
  <c r="F6" i="7"/>
  <c r="E6" i="7"/>
  <c r="J6" i="6"/>
  <c r="I6" i="6"/>
  <c r="H6" i="6"/>
  <c r="G6" i="6"/>
  <c r="F6" i="6"/>
  <c r="E6" i="6"/>
  <c r="D6" i="7"/>
  <c r="D7" i="7" s="1"/>
  <c r="D17" i="7" s="1"/>
  <c r="D13" i="7"/>
  <c r="D3" i="7" s="1"/>
  <c r="D14" i="7" s="1"/>
  <c r="H12" i="7"/>
  <c r="G12" i="7"/>
  <c r="D12" i="7"/>
  <c r="J11" i="7"/>
  <c r="J12" i="7" s="1"/>
  <c r="I11" i="7"/>
  <c r="I12" i="7" s="1"/>
  <c r="I7" i="7" s="1"/>
  <c r="I17" i="7" s="1"/>
  <c r="H11" i="7"/>
  <c r="G11" i="7"/>
  <c r="F11" i="7"/>
  <c r="F12" i="7" s="1"/>
  <c r="E11" i="7"/>
  <c r="E12" i="7" s="1"/>
  <c r="D11" i="7"/>
  <c r="E5" i="7"/>
  <c r="F5" i="7" s="1"/>
  <c r="D17" i="6"/>
  <c r="D6" i="6"/>
  <c r="D17" i="1"/>
  <c r="E17" i="1"/>
  <c r="F17" i="1"/>
  <c r="G17" i="1"/>
  <c r="H17" i="1"/>
  <c r="I17" i="1"/>
  <c r="J17" i="1"/>
  <c r="E6" i="1"/>
  <c r="F6" i="1"/>
  <c r="G6" i="1"/>
  <c r="H6" i="1"/>
  <c r="I6" i="1"/>
  <c r="J6" i="1"/>
  <c r="D6" i="1"/>
  <c r="H12" i="6"/>
  <c r="H7" i="6" s="1"/>
  <c r="H17" i="6" s="1"/>
  <c r="D12" i="6"/>
  <c r="D13" i="6" s="1"/>
  <c r="D3" i="6" s="1"/>
  <c r="D14" i="6" s="1"/>
  <c r="J11" i="6"/>
  <c r="J12" i="6" s="1"/>
  <c r="J7" i="6" s="1"/>
  <c r="J17" i="6" s="1"/>
  <c r="I11" i="6"/>
  <c r="I12" i="6" s="1"/>
  <c r="I7" i="6" s="1"/>
  <c r="I17" i="6" s="1"/>
  <c r="H11" i="6"/>
  <c r="G11" i="6"/>
  <c r="G12" i="6" s="1"/>
  <c r="G7" i="6" s="1"/>
  <c r="G17" i="6" s="1"/>
  <c r="F11" i="6"/>
  <c r="F12" i="6" s="1"/>
  <c r="F7" i="6" s="1"/>
  <c r="F17" i="6" s="1"/>
  <c r="E11" i="6"/>
  <c r="E12" i="6" s="1"/>
  <c r="D11" i="6"/>
  <c r="E5" i="6"/>
  <c r="F5" i="6" s="1"/>
  <c r="K16" i="9" l="1"/>
  <c r="K18" i="9" s="1"/>
  <c r="K19" i="9" s="1"/>
  <c r="H5" i="9"/>
  <c r="G13" i="9"/>
  <c r="G3" i="9" s="1"/>
  <c r="G14" i="9" s="1"/>
  <c r="E16" i="9"/>
  <c r="E18" i="9" s="1"/>
  <c r="E19" i="9" s="1"/>
  <c r="E15" i="9"/>
  <c r="F15" i="8"/>
  <c r="F16" i="8"/>
  <c r="F18" i="8" s="1"/>
  <c r="F19" i="8" s="1"/>
  <c r="H13" i="8"/>
  <c r="H3" i="8" s="1"/>
  <c r="H14" i="8" s="1"/>
  <c r="I5" i="8"/>
  <c r="E15" i="8"/>
  <c r="E16" i="8"/>
  <c r="E18" i="8" s="1"/>
  <c r="E19" i="8" s="1"/>
  <c r="G16" i="8"/>
  <c r="G18" i="8" s="1"/>
  <c r="G19" i="8" s="1"/>
  <c r="G15" i="8"/>
  <c r="J7" i="7"/>
  <c r="J17" i="7" s="1"/>
  <c r="G7" i="7"/>
  <c r="G17" i="7" s="1"/>
  <c r="F7" i="7"/>
  <c r="F17" i="7" s="1"/>
  <c r="F13" i="7"/>
  <c r="F3" i="7" s="1"/>
  <c r="F14" i="7" s="1"/>
  <c r="G5" i="7"/>
  <c r="E7" i="7"/>
  <c r="E17" i="7" s="1"/>
  <c r="E13" i="7"/>
  <c r="E3" i="7" s="1"/>
  <c r="E14" i="7" s="1"/>
  <c r="D16" i="7"/>
  <c r="D18" i="7" s="1"/>
  <c r="D15" i="7"/>
  <c r="E13" i="6"/>
  <c r="E3" i="6" s="1"/>
  <c r="E14" i="6" s="1"/>
  <c r="E7" i="6"/>
  <c r="E17" i="6" s="1"/>
  <c r="F13" i="6"/>
  <c r="F3" i="6" s="1"/>
  <c r="F14" i="6" s="1"/>
  <c r="G5" i="6"/>
  <c r="D15" i="6"/>
  <c r="D16" i="6"/>
  <c r="D18" i="6" s="1"/>
  <c r="D7" i="6"/>
  <c r="H17" i="5"/>
  <c r="G17" i="5"/>
  <c r="F17" i="5"/>
  <c r="E17" i="5"/>
  <c r="H17" i="4"/>
  <c r="G17" i="4"/>
  <c r="F17" i="4"/>
  <c r="E17" i="4"/>
  <c r="J17" i="5"/>
  <c r="I17" i="5"/>
  <c r="D17" i="5"/>
  <c r="G6" i="5"/>
  <c r="G7" i="5" s="1"/>
  <c r="I6" i="5"/>
  <c r="J6" i="5"/>
  <c r="D6" i="5"/>
  <c r="J17" i="4"/>
  <c r="I17" i="4"/>
  <c r="D17" i="4"/>
  <c r="G6" i="4"/>
  <c r="G7" i="4" s="1"/>
  <c r="I6" i="4"/>
  <c r="J6" i="4"/>
  <c r="D6" i="4"/>
  <c r="D7" i="4" s="1"/>
  <c r="J12" i="5"/>
  <c r="D12" i="5"/>
  <c r="D13" i="5" s="1"/>
  <c r="D3" i="5" s="1"/>
  <c r="D14" i="5" s="1"/>
  <c r="J11" i="5"/>
  <c r="I11" i="5"/>
  <c r="I12" i="5" s="1"/>
  <c r="H11" i="5"/>
  <c r="H12" i="5" s="1"/>
  <c r="H6" i="5" s="1"/>
  <c r="H7" i="5" s="1"/>
  <c r="G11" i="5"/>
  <c r="G12" i="5" s="1"/>
  <c r="F11" i="5"/>
  <c r="F12" i="5" s="1"/>
  <c r="F6" i="5" s="1"/>
  <c r="F7" i="5" s="1"/>
  <c r="E11" i="5"/>
  <c r="E12" i="5" s="1"/>
  <c r="E6" i="5" s="1"/>
  <c r="E7" i="5" s="1"/>
  <c r="D11" i="5"/>
  <c r="J7" i="5"/>
  <c r="I7" i="5"/>
  <c r="D7" i="5"/>
  <c r="E5" i="5"/>
  <c r="F5" i="5" s="1"/>
  <c r="J12" i="4"/>
  <c r="D12" i="4"/>
  <c r="D13" i="4" s="1"/>
  <c r="D3" i="4" s="1"/>
  <c r="D14" i="4" s="1"/>
  <c r="D15" i="4" s="1"/>
  <c r="J11" i="4"/>
  <c r="I11" i="4"/>
  <c r="I12" i="4" s="1"/>
  <c r="H11" i="4"/>
  <c r="H12" i="4" s="1"/>
  <c r="H6" i="4" s="1"/>
  <c r="H7" i="4" s="1"/>
  <c r="G11" i="4"/>
  <c r="G12" i="4" s="1"/>
  <c r="F11" i="4"/>
  <c r="F12" i="4" s="1"/>
  <c r="F6" i="4" s="1"/>
  <c r="F7" i="4" s="1"/>
  <c r="E11" i="4"/>
  <c r="E12" i="4" s="1"/>
  <c r="E6" i="4" s="1"/>
  <c r="E7" i="4" s="1"/>
  <c r="D11" i="4"/>
  <c r="J7" i="4"/>
  <c r="I7" i="4"/>
  <c r="E5" i="4"/>
  <c r="F5" i="4" s="1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58" i="2"/>
  <c r="J259" i="2"/>
  <c r="J260" i="2"/>
  <c r="J261" i="2"/>
  <c r="J262" i="2"/>
  <c r="J263" i="2"/>
  <c r="J264" i="2"/>
  <c r="J265" i="2"/>
  <c r="J266" i="2"/>
  <c r="J257" i="2"/>
  <c r="J256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107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6" i="2"/>
  <c r="G207" i="2"/>
  <c r="G208" i="2" s="1"/>
  <c r="D6" i="2"/>
  <c r="D7" i="2" s="1"/>
  <c r="C6" i="2"/>
  <c r="C7" i="2" s="1"/>
  <c r="C8" i="2" s="1"/>
  <c r="B6" i="2"/>
  <c r="B5" i="2"/>
  <c r="A7" i="2"/>
  <c r="A6" i="2"/>
  <c r="J11" i="1"/>
  <c r="J12" i="1" s="1"/>
  <c r="J7" i="1" s="1"/>
  <c r="H6" i="2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E5" i="1"/>
  <c r="F5" i="1" s="1"/>
  <c r="G5" i="1" s="1"/>
  <c r="H5" i="1" s="1"/>
  <c r="I5" i="1" s="1"/>
  <c r="J5" i="1" s="1"/>
  <c r="G15" i="9" l="1"/>
  <c r="G16" i="9"/>
  <c r="G18" i="9" s="1"/>
  <c r="G19" i="9" s="1"/>
  <c r="I5" i="9"/>
  <c r="H13" i="9"/>
  <c r="H3" i="9" s="1"/>
  <c r="H14" i="9" s="1"/>
  <c r="I13" i="8"/>
  <c r="I3" i="8" s="1"/>
  <c r="I14" i="8" s="1"/>
  <c r="J5" i="8"/>
  <c r="J13" i="8" s="1"/>
  <c r="J3" i="8" s="1"/>
  <c r="J14" i="8" s="1"/>
  <c r="H15" i="8"/>
  <c r="H16" i="8"/>
  <c r="H18" i="8" s="1"/>
  <c r="H19" i="8" s="1"/>
  <c r="E15" i="7"/>
  <c r="E16" i="7"/>
  <c r="E18" i="7" s="1"/>
  <c r="G13" i="7"/>
  <c r="G3" i="7" s="1"/>
  <c r="G14" i="7" s="1"/>
  <c r="H5" i="7"/>
  <c r="D20" i="7"/>
  <c r="D19" i="7"/>
  <c r="F16" i="7"/>
  <c r="F18" i="7" s="1"/>
  <c r="F15" i="7"/>
  <c r="D20" i="6"/>
  <c r="D19" i="6"/>
  <c r="G13" i="6"/>
  <c r="G3" i="6" s="1"/>
  <c r="G14" i="6" s="1"/>
  <c r="H5" i="6"/>
  <c r="F16" i="6"/>
  <c r="F18" i="6" s="1"/>
  <c r="F15" i="6"/>
  <c r="E15" i="6"/>
  <c r="E16" i="6"/>
  <c r="E18" i="6" s="1"/>
  <c r="J13" i="1"/>
  <c r="J3" i="1" s="1"/>
  <c r="J14" i="1" s="1"/>
  <c r="J15" i="1" s="1"/>
  <c r="F13" i="5"/>
  <c r="F3" i="5" s="1"/>
  <c r="F14" i="5" s="1"/>
  <c r="G5" i="5"/>
  <c r="D15" i="5"/>
  <c r="D16" i="5"/>
  <c r="D18" i="5" s="1"/>
  <c r="D19" i="5" s="1"/>
  <c r="E13" i="5"/>
  <c r="E3" i="5" s="1"/>
  <c r="E14" i="5" s="1"/>
  <c r="G5" i="4"/>
  <c r="F13" i="4"/>
  <c r="F3" i="4" s="1"/>
  <c r="F14" i="4" s="1"/>
  <c r="F15" i="4" s="1"/>
  <c r="E13" i="4"/>
  <c r="E3" i="4" s="1"/>
  <c r="E14" i="4" s="1"/>
  <c r="D16" i="4"/>
  <c r="D18" i="4" s="1"/>
  <c r="D19" i="4" s="1"/>
  <c r="G209" i="2"/>
  <c r="E6" i="2"/>
  <c r="F6" i="2" s="1"/>
  <c r="A8" i="2"/>
  <c r="B7" i="2"/>
  <c r="C9" i="2"/>
  <c r="E7" i="2"/>
  <c r="F7" i="2" s="1"/>
  <c r="D8" i="2"/>
  <c r="H7" i="2"/>
  <c r="I11" i="1"/>
  <c r="I12" i="1" s="1"/>
  <c r="H11" i="1"/>
  <c r="H12" i="1" s="1"/>
  <c r="G11" i="1"/>
  <c r="G12" i="1" s="1"/>
  <c r="F11" i="1"/>
  <c r="F12" i="1" s="1"/>
  <c r="E11" i="1"/>
  <c r="E12" i="1" s="1"/>
  <c r="H15" i="9" l="1"/>
  <c r="H16" i="9"/>
  <c r="H18" i="9" s="1"/>
  <c r="H19" i="9" s="1"/>
  <c r="I13" i="9"/>
  <c r="I3" i="9" s="1"/>
  <c r="I14" i="9" s="1"/>
  <c r="J5" i="9"/>
  <c r="J13" i="9" s="1"/>
  <c r="J3" i="9" s="1"/>
  <c r="J14" i="9" s="1"/>
  <c r="J15" i="8"/>
  <c r="J16" i="8"/>
  <c r="J18" i="8" s="1"/>
  <c r="J19" i="8" s="1"/>
  <c r="I15" i="8"/>
  <c r="I16" i="8"/>
  <c r="I18" i="8" s="1"/>
  <c r="I19" i="8" s="1"/>
  <c r="I5" i="7"/>
  <c r="H13" i="7"/>
  <c r="H3" i="7" s="1"/>
  <c r="H14" i="7" s="1"/>
  <c r="F20" i="7"/>
  <c r="F19" i="7"/>
  <c r="E19" i="7"/>
  <c r="E20" i="7"/>
  <c r="G16" i="7"/>
  <c r="G18" i="7" s="1"/>
  <c r="G15" i="7"/>
  <c r="J16" i="1"/>
  <c r="J18" i="1" s="1"/>
  <c r="G15" i="6"/>
  <c r="G16" i="6"/>
  <c r="G18" i="6" s="1"/>
  <c r="E19" i="6"/>
  <c r="E20" i="6"/>
  <c r="I5" i="6"/>
  <c r="H13" i="6"/>
  <c r="H3" i="6" s="1"/>
  <c r="H14" i="6" s="1"/>
  <c r="F20" i="6"/>
  <c r="F19" i="6"/>
  <c r="E16" i="4"/>
  <c r="E18" i="4" s="1"/>
  <c r="E19" i="4" s="1"/>
  <c r="E15" i="4"/>
  <c r="F16" i="4"/>
  <c r="F18" i="4" s="1"/>
  <c r="F19" i="4" s="1"/>
  <c r="H13" i="1"/>
  <c r="H3" i="1" s="1"/>
  <c r="H14" i="1" s="1"/>
  <c r="H15" i="1" s="1"/>
  <c r="H7" i="1"/>
  <c r="E13" i="1"/>
  <c r="E3" i="1" s="1"/>
  <c r="E14" i="1" s="1"/>
  <c r="E16" i="1" s="1"/>
  <c r="E18" i="1" s="1"/>
  <c r="E7" i="1"/>
  <c r="G13" i="1"/>
  <c r="G3" i="1" s="1"/>
  <c r="G14" i="1" s="1"/>
  <c r="G16" i="1" s="1"/>
  <c r="G18" i="1" s="1"/>
  <c r="G7" i="1"/>
  <c r="I13" i="1"/>
  <c r="I3" i="1" s="1"/>
  <c r="I14" i="1" s="1"/>
  <c r="I15" i="1" s="1"/>
  <c r="I7" i="1"/>
  <c r="F13" i="1"/>
  <c r="F3" i="1" s="1"/>
  <c r="F14" i="1" s="1"/>
  <c r="F16" i="1" s="1"/>
  <c r="F18" i="1" s="1"/>
  <c r="F7" i="1"/>
  <c r="H5" i="5"/>
  <c r="G13" i="5"/>
  <c r="G3" i="5" s="1"/>
  <c r="G14" i="5" s="1"/>
  <c r="E15" i="5"/>
  <c r="E16" i="5"/>
  <c r="E18" i="5" s="1"/>
  <c r="E19" i="5" s="1"/>
  <c r="F15" i="5"/>
  <c r="F16" i="5"/>
  <c r="F18" i="5" s="1"/>
  <c r="F19" i="5" s="1"/>
  <c r="H5" i="4"/>
  <c r="G13" i="4"/>
  <c r="G3" i="4" s="1"/>
  <c r="G14" i="4" s="1"/>
  <c r="G210" i="2"/>
  <c r="A9" i="2"/>
  <c r="B8" i="2"/>
  <c r="E8" i="2" s="1"/>
  <c r="F8" i="2" s="1"/>
  <c r="C10" i="2"/>
  <c r="D9" i="2"/>
  <c r="H8" i="2"/>
  <c r="J15" i="9" l="1"/>
  <c r="J16" i="9"/>
  <c r="J18" i="9" s="1"/>
  <c r="J19" i="9" s="1"/>
  <c r="I16" i="9"/>
  <c r="I18" i="9" s="1"/>
  <c r="I19" i="9" s="1"/>
  <c r="I15" i="9"/>
  <c r="G19" i="7"/>
  <c r="G20" i="7"/>
  <c r="H15" i="7"/>
  <c r="H16" i="7"/>
  <c r="H18" i="7" s="1"/>
  <c r="J5" i="7"/>
  <c r="J13" i="7" s="1"/>
  <c r="J3" i="7" s="1"/>
  <c r="J14" i="7" s="1"/>
  <c r="I13" i="7"/>
  <c r="I3" i="7" s="1"/>
  <c r="I14" i="7" s="1"/>
  <c r="G15" i="1"/>
  <c r="I16" i="1"/>
  <c r="I18" i="1" s="1"/>
  <c r="J20" i="1"/>
  <c r="J19" i="1"/>
  <c r="G19" i="6"/>
  <c r="G20" i="6"/>
  <c r="H16" i="6"/>
  <c r="H18" i="6" s="1"/>
  <c r="H15" i="6"/>
  <c r="J5" i="6"/>
  <c r="J13" i="6" s="1"/>
  <c r="J3" i="6" s="1"/>
  <c r="J14" i="6" s="1"/>
  <c r="I13" i="6"/>
  <c r="I3" i="6" s="1"/>
  <c r="I14" i="6" s="1"/>
  <c r="G20" i="1"/>
  <c r="G19" i="1"/>
  <c r="F20" i="1"/>
  <c r="F19" i="1"/>
  <c r="F15" i="1"/>
  <c r="E15" i="1"/>
  <c r="E20" i="1"/>
  <c r="E19" i="1"/>
  <c r="G16" i="4"/>
  <c r="G18" i="4" s="1"/>
  <c r="G19" i="4" s="1"/>
  <c r="G15" i="4"/>
  <c r="H16" i="1"/>
  <c r="H18" i="1" s="1"/>
  <c r="G16" i="5"/>
  <c r="G18" i="5" s="1"/>
  <c r="G19" i="5" s="1"/>
  <c r="G15" i="5"/>
  <c r="H13" i="5"/>
  <c r="H3" i="5" s="1"/>
  <c r="H14" i="5" s="1"/>
  <c r="I5" i="5"/>
  <c r="H13" i="4"/>
  <c r="H3" i="4" s="1"/>
  <c r="H14" i="4" s="1"/>
  <c r="I5" i="4"/>
  <c r="G211" i="2"/>
  <c r="A10" i="2"/>
  <c r="B9" i="2"/>
  <c r="E9" i="2" s="1"/>
  <c r="F9" i="2" s="1"/>
  <c r="C11" i="2"/>
  <c r="D10" i="2"/>
  <c r="H9" i="2"/>
  <c r="D11" i="1"/>
  <c r="D12" i="1" s="1"/>
  <c r="H19" i="7" l="1"/>
  <c r="H20" i="7"/>
  <c r="I15" i="7"/>
  <c r="I16" i="7"/>
  <c r="I18" i="7" s="1"/>
  <c r="J16" i="7"/>
  <c r="J18" i="7" s="1"/>
  <c r="J15" i="7"/>
  <c r="I20" i="1"/>
  <c r="I19" i="1"/>
  <c r="J16" i="6"/>
  <c r="J18" i="6" s="1"/>
  <c r="J15" i="6"/>
  <c r="H19" i="6"/>
  <c r="H20" i="6"/>
  <c r="I15" i="6"/>
  <c r="I16" i="6"/>
  <c r="I18" i="6" s="1"/>
  <c r="H20" i="1"/>
  <c r="H19" i="1"/>
  <c r="H15" i="4"/>
  <c r="H16" i="4"/>
  <c r="H18" i="4" s="1"/>
  <c r="H19" i="4" s="1"/>
  <c r="D13" i="1"/>
  <c r="D3" i="1" s="1"/>
  <c r="D14" i="1" s="1"/>
  <c r="D15" i="1" s="1"/>
  <c r="D7" i="1"/>
  <c r="J5" i="5"/>
  <c r="J13" i="5" s="1"/>
  <c r="J3" i="5" s="1"/>
  <c r="J14" i="5" s="1"/>
  <c r="I13" i="5"/>
  <c r="I3" i="5" s="1"/>
  <c r="I14" i="5" s="1"/>
  <c r="H15" i="5"/>
  <c r="H16" i="5"/>
  <c r="H18" i="5" s="1"/>
  <c r="H19" i="5" s="1"/>
  <c r="J5" i="4"/>
  <c r="J13" i="4" s="1"/>
  <c r="J3" i="4" s="1"/>
  <c r="J14" i="4" s="1"/>
  <c r="I13" i="4"/>
  <c r="I3" i="4" s="1"/>
  <c r="I14" i="4" s="1"/>
  <c r="G212" i="2"/>
  <c r="A11" i="2"/>
  <c r="B10" i="2"/>
  <c r="E10" i="2" s="1"/>
  <c r="F10" i="2" s="1"/>
  <c r="C12" i="2"/>
  <c r="D11" i="2"/>
  <c r="H10" i="2"/>
  <c r="I19" i="7" l="1"/>
  <c r="I20" i="7"/>
  <c r="J20" i="7"/>
  <c r="J19" i="7"/>
  <c r="I19" i="6"/>
  <c r="I20" i="6"/>
  <c r="J20" i="6"/>
  <c r="J19" i="6"/>
  <c r="J15" i="4"/>
  <c r="J16" i="4"/>
  <c r="J18" i="4" s="1"/>
  <c r="J19" i="4" s="1"/>
  <c r="I16" i="4"/>
  <c r="I18" i="4" s="1"/>
  <c r="I19" i="4" s="1"/>
  <c r="I15" i="4"/>
  <c r="D16" i="1"/>
  <c r="D18" i="1" s="1"/>
  <c r="D19" i="1" s="1"/>
  <c r="J15" i="5"/>
  <c r="J16" i="5"/>
  <c r="J18" i="5" s="1"/>
  <c r="J19" i="5" s="1"/>
  <c r="I15" i="5"/>
  <c r="I16" i="5"/>
  <c r="I18" i="5" s="1"/>
  <c r="I19" i="5" s="1"/>
  <c r="G213" i="2"/>
  <c r="A12" i="2"/>
  <c r="B11" i="2"/>
  <c r="E11" i="2" s="1"/>
  <c r="F11" i="2" s="1"/>
  <c r="C13" i="2"/>
  <c r="D12" i="2"/>
  <c r="H11" i="2"/>
  <c r="G214" i="2" l="1"/>
  <c r="A13" i="2"/>
  <c r="B12" i="2"/>
  <c r="E12" i="2" s="1"/>
  <c r="F12" i="2" s="1"/>
  <c r="C14" i="2"/>
  <c r="D13" i="2"/>
  <c r="H12" i="2"/>
  <c r="D20" i="1"/>
  <c r="G215" i="2" l="1"/>
  <c r="A14" i="2"/>
  <c r="B13" i="2"/>
  <c r="E13" i="2" s="1"/>
  <c r="F13" i="2" s="1"/>
  <c r="C15" i="2"/>
  <c r="D14" i="2"/>
  <c r="H13" i="2"/>
  <c r="G216" i="2" l="1"/>
  <c r="A15" i="2"/>
  <c r="B14" i="2"/>
  <c r="E14" i="2" s="1"/>
  <c r="F14" i="2" s="1"/>
  <c r="C16" i="2"/>
  <c r="D15" i="2"/>
  <c r="H14" i="2"/>
  <c r="G217" i="2" l="1"/>
  <c r="A16" i="2"/>
  <c r="B15" i="2"/>
  <c r="E15" i="2" s="1"/>
  <c r="F15" i="2" s="1"/>
  <c r="C17" i="2"/>
  <c r="D16" i="2"/>
  <c r="H15" i="2"/>
  <c r="G218" i="2" l="1"/>
  <c r="A17" i="2"/>
  <c r="B16" i="2"/>
  <c r="E16" i="2" s="1"/>
  <c r="F16" i="2" s="1"/>
  <c r="C18" i="2"/>
  <c r="D17" i="2"/>
  <c r="H16" i="2"/>
  <c r="G219" i="2" l="1"/>
  <c r="A18" i="2"/>
  <c r="B17" i="2"/>
  <c r="E17" i="2" s="1"/>
  <c r="F17" i="2" s="1"/>
  <c r="C19" i="2"/>
  <c r="D18" i="2"/>
  <c r="H17" i="2"/>
  <c r="G220" i="2" l="1"/>
  <c r="A19" i="2"/>
  <c r="B18" i="2"/>
  <c r="E18" i="2" s="1"/>
  <c r="F18" i="2" s="1"/>
  <c r="C20" i="2"/>
  <c r="D19" i="2"/>
  <c r="H18" i="2"/>
  <c r="G221" i="2" l="1"/>
  <c r="A20" i="2"/>
  <c r="B19" i="2"/>
  <c r="E19" i="2" s="1"/>
  <c r="F19" i="2" s="1"/>
  <c r="C21" i="2"/>
  <c r="D20" i="2"/>
  <c r="H19" i="2"/>
  <c r="G222" i="2" l="1"/>
  <c r="A21" i="2"/>
  <c r="B20" i="2"/>
  <c r="E20" i="2" s="1"/>
  <c r="F20" i="2" s="1"/>
  <c r="C22" i="2"/>
  <c r="D21" i="2"/>
  <c r="H20" i="2"/>
  <c r="G223" i="2" l="1"/>
  <c r="A22" i="2"/>
  <c r="B21" i="2"/>
  <c r="E21" i="2" s="1"/>
  <c r="F21" i="2" s="1"/>
  <c r="C23" i="2"/>
  <c r="D22" i="2"/>
  <c r="H21" i="2"/>
  <c r="G224" i="2" l="1"/>
  <c r="A23" i="2"/>
  <c r="B22" i="2"/>
  <c r="E22" i="2" s="1"/>
  <c r="F22" i="2" s="1"/>
  <c r="C24" i="2"/>
  <c r="D23" i="2"/>
  <c r="H22" i="2"/>
  <c r="G225" i="2" l="1"/>
  <c r="A24" i="2"/>
  <c r="B23" i="2"/>
  <c r="E23" i="2" s="1"/>
  <c r="F23" i="2" s="1"/>
  <c r="C25" i="2"/>
  <c r="D24" i="2"/>
  <c r="H23" i="2"/>
  <c r="G226" i="2" l="1"/>
  <c r="A25" i="2"/>
  <c r="B24" i="2"/>
  <c r="E24" i="2" s="1"/>
  <c r="F24" i="2" s="1"/>
  <c r="C26" i="2"/>
  <c r="D25" i="2"/>
  <c r="H24" i="2"/>
  <c r="G227" i="2" l="1"/>
  <c r="A26" i="2"/>
  <c r="B25" i="2"/>
  <c r="E25" i="2" s="1"/>
  <c r="F25" i="2" s="1"/>
  <c r="C27" i="2"/>
  <c r="D26" i="2"/>
  <c r="H25" i="2"/>
  <c r="G228" i="2" l="1"/>
  <c r="A27" i="2"/>
  <c r="B26" i="2"/>
  <c r="E26" i="2" s="1"/>
  <c r="F26" i="2" s="1"/>
  <c r="C28" i="2"/>
  <c r="D27" i="2"/>
  <c r="H26" i="2"/>
  <c r="G229" i="2" l="1"/>
  <c r="A28" i="2"/>
  <c r="B27" i="2"/>
  <c r="E27" i="2" s="1"/>
  <c r="F27" i="2" s="1"/>
  <c r="C29" i="2"/>
  <c r="D28" i="2"/>
  <c r="H27" i="2"/>
  <c r="G230" i="2" l="1"/>
  <c r="A29" i="2"/>
  <c r="B28" i="2"/>
  <c r="E28" i="2" s="1"/>
  <c r="F28" i="2" s="1"/>
  <c r="C30" i="2"/>
  <c r="D29" i="2"/>
  <c r="H28" i="2"/>
  <c r="G231" i="2" l="1"/>
  <c r="A30" i="2"/>
  <c r="B29" i="2"/>
  <c r="E29" i="2" s="1"/>
  <c r="F29" i="2" s="1"/>
  <c r="C31" i="2"/>
  <c r="D30" i="2"/>
  <c r="H29" i="2"/>
  <c r="G232" i="2" l="1"/>
  <c r="A31" i="2"/>
  <c r="B30" i="2"/>
  <c r="E30" i="2" s="1"/>
  <c r="F30" i="2" s="1"/>
  <c r="C32" i="2"/>
  <c r="D31" i="2"/>
  <c r="H30" i="2"/>
  <c r="G233" i="2" l="1"/>
  <c r="A32" i="2"/>
  <c r="B31" i="2"/>
  <c r="E31" i="2" s="1"/>
  <c r="F31" i="2" s="1"/>
  <c r="C33" i="2"/>
  <c r="D32" i="2"/>
  <c r="H31" i="2"/>
  <c r="G234" i="2" l="1"/>
  <c r="A33" i="2"/>
  <c r="B32" i="2"/>
  <c r="E32" i="2" s="1"/>
  <c r="F32" i="2" s="1"/>
  <c r="C34" i="2"/>
  <c r="D33" i="2"/>
  <c r="H32" i="2"/>
  <c r="G235" i="2" l="1"/>
  <c r="A34" i="2"/>
  <c r="B33" i="2"/>
  <c r="E33" i="2" s="1"/>
  <c r="F33" i="2" s="1"/>
  <c r="C35" i="2"/>
  <c r="D34" i="2"/>
  <c r="H33" i="2"/>
  <c r="G236" i="2" l="1"/>
  <c r="A35" i="2"/>
  <c r="B34" i="2"/>
  <c r="E34" i="2" s="1"/>
  <c r="F34" i="2" s="1"/>
  <c r="C36" i="2"/>
  <c r="D35" i="2"/>
  <c r="H34" i="2"/>
  <c r="G237" i="2" l="1"/>
  <c r="A36" i="2"/>
  <c r="B35" i="2"/>
  <c r="E35" i="2" s="1"/>
  <c r="F35" i="2" s="1"/>
  <c r="C37" i="2"/>
  <c r="D36" i="2"/>
  <c r="H35" i="2"/>
  <c r="G238" i="2" l="1"/>
  <c r="A37" i="2"/>
  <c r="B36" i="2"/>
  <c r="E36" i="2" s="1"/>
  <c r="F36" i="2" s="1"/>
  <c r="C38" i="2"/>
  <c r="D37" i="2"/>
  <c r="H36" i="2"/>
  <c r="G239" i="2" l="1"/>
  <c r="A38" i="2"/>
  <c r="B37" i="2"/>
  <c r="E37" i="2" s="1"/>
  <c r="F37" i="2" s="1"/>
  <c r="C39" i="2"/>
  <c r="D38" i="2"/>
  <c r="H37" i="2"/>
  <c r="G240" i="2" l="1"/>
  <c r="A39" i="2"/>
  <c r="B38" i="2"/>
  <c r="E38" i="2" s="1"/>
  <c r="F38" i="2" s="1"/>
  <c r="C40" i="2"/>
  <c r="D39" i="2"/>
  <c r="H38" i="2"/>
  <c r="G241" i="2" l="1"/>
  <c r="A40" i="2"/>
  <c r="B39" i="2"/>
  <c r="E39" i="2" s="1"/>
  <c r="F39" i="2" s="1"/>
  <c r="C41" i="2"/>
  <c r="D40" i="2"/>
  <c r="H39" i="2"/>
  <c r="G242" i="2" l="1"/>
  <c r="A41" i="2"/>
  <c r="B40" i="2"/>
  <c r="E40" i="2" s="1"/>
  <c r="F40" i="2" s="1"/>
  <c r="C42" i="2"/>
  <c r="D41" i="2"/>
  <c r="H40" i="2"/>
  <c r="G243" i="2" l="1"/>
  <c r="A42" i="2"/>
  <c r="B41" i="2"/>
  <c r="E41" i="2" s="1"/>
  <c r="F41" i="2" s="1"/>
  <c r="C43" i="2"/>
  <c r="D42" i="2"/>
  <c r="H41" i="2"/>
  <c r="G244" i="2" l="1"/>
  <c r="A43" i="2"/>
  <c r="B42" i="2"/>
  <c r="E42" i="2" s="1"/>
  <c r="F42" i="2" s="1"/>
  <c r="C44" i="2"/>
  <c r="D43" i="2"/>
  <c r="H42" i="2"/>
  <c r="G245" i="2" l="1"/>
  <c r="A44" i="2"/>
  <c r="B43" i="2"/>
  <c r="E43" i="2" s="1"/>
  <c r="F43" i="2" s="1"/>
  <c r="C45" i="2"/>
  <c r="D44" i="2"/>
  <c r="H43" i="2"/>
  <c r="G246" i="2" l="1"/>
  <c r="A45" i="2"/>
  <c r="B44" i="2"/>
  <c r="E44" i="2" s="1"/>
  <c r="F44" i="2" s="1"/>
  <c r="C46" i="2"/>
  <c r="D45" i="2"/>
  <c r="H44" i="2"/>
  <c r="G247" i="2" l="1"/>
  <c r="A46" i="2"/>
  <c r="B45" i="2"/>
  <c r="E45" i="2" s="1"/>
  <c r="F45" i="2" s="1"/>
  <c r="C47" i="2"/>
  <c r="D46" i="2"/>
  <c r="H45" i="2"/>
  <c r="G248" i="2" l="1"/>
  <c r="A47" i="2"/>
  <c r="B46" i="2"/>
  <c r="E46" i="2" s="1"/>
  <c r="F46" i="2" s="1"/>
  <c r="C48" i="2"/>
  <c r="D47" i="2"/>
  <c r="H46" i="2"/>
  <c r="G249" i="2" l="1"/>
  <c r="A48" i="2"/>
  <c r="B47" i="2"/>
  <c r="E47" i="2" s="1"/>
  <c r="F47" i="2" s="1"/>
  <c r="C49" i="2"/>
  <c r="D48" i="2"/>
  <c r="H47" i="2"/>
  <c r="G250" i="2" l="1"/>
  <c r="A49" i="2"/>
  <c r="B48" i="2"/>
  <c r="E48" i="2" s="1"/>
  <c r="F48" i="2" s="1"/>
  <c r="C50" i="2"/>
  <c r="D49" i="2"/>
  <c r="H48" i="2"/>
  <c r="G251" i="2" l="1"/>
  <c r="A50" i="2"/>
  <c r="B49" i="2"/>
  <c r="E49" i="2" s="1"/>
  <c r="F49" i="2" s="1"/>
  <c r="C51" i="2"/>
  <c r="D50" i="2"/>
  <c r="H49" i="2"/>
  <c r="G252" i="2" l="1"/>
  <c r="A51" i="2"/>
  <c r="B50" i="2"/>
  <c r="E50" i="2" s="1"/>
  <c r="F50" i="2" s="1"/>
  <c r="C52" i="2"/>
  <c r="D51" i="2"/>
  <c r="H50" i="2"/>
  <c r="G253" i="2" l="1"/>
  <c r="A52" i="2"/>
  <c r="B51" i="2"/>
  <c r="E51" i="2" s="1"/>
  <c r="F51" i="2" s="1"/>
  <c r="C53" i="2"/>
  <c r="D52" i="2"/>
  <c r="H51" i="2"/>
  <c r="G254" i="2" l="1"/>
  <c r="A53" i="2"/>
  <c r="B52" i="2"/>
  <c r="E52" i="2" s="1"/>
  <c r="F52" i="2" s="1"/>
  <c r="C54" i="2"/>
  <c r="D53" i="2"/>
  <c r="H52" i="2"/>
  <c r="G255" i="2" l="1"/>
  <c r="A54" i="2"/>
  <c r="B53" i="2"/>
  <c r="E53" i="2" s="1"/>
  <c r="F53" i="2" s="1"/>
  <c r="C55" i="2"/>
  <c r="D54" i="2"/>
  <c r="H53" i="2"/>
  <c r="G256" i="2" l="1"/>
  <c r="A55" i="2"/>
  <c r="B54" i="2"/>
  <c r="E54" i="2" s="1"/>
  <c r="F54" i="2" s="1"/>
  <c r="C56" i="2"/>
  <c r="D55" i="2"/>
  <c r="H54" i="2"/>
  <c r="A56" i="2" l="1"/>
  <c r="B55" i="2"/>
  <c r="E55" i="2" s="1"/>
  <c r="F55" i="2" s="1"/>
  <c r="C57" i="2"/>
  <c r="D56" i="2"/>
  <c r="H55" i="2"/>
  <c r="A57" i="2" l="1"/>
  <c r="B56" i="2"/>
  <c r="E56" i="2" s="1"/>
  <c r="F56" i="2" s="1"/>
  <c r="C58" i="2"/>
  <c r="D57" i="2"/>
  <c r="H56" i="2"/>
  <c r="A58" i="2" l="1"/>
  <c r="B57" i="2"/>
  <c r="E57" i="2" s="1"/>
  <c r="F57" i="2" s="1"/>
  <c r="C59" i="2"/>
  <c r="D58" i="2"/>
  <c r="H57" i="2"/>
  <c r="A59" i="2" l="1"/>
  <c r="B58" i="2"/>
  <c r="E58" i="2" s="1"/>
  <c r="F58" i="2" s="1"/>
  <c r="C60" i="2"/>
  <c r="D59" i="2"/>
  <c r="H58" i="2"/>
  <c r="A60" i="2" l="1"/>
  <c r="B59" i="2"/>
  <c r="E59" i="2" s="1"/>
  <c r="F59" i="2" s="1"/>
  <c r="C61" i="2"/>
  <c r="D60" i="2"/>
  <c r="H59" i="2"/>
  <c r="A61" i="2" l="1"/>
  <c r="B60" i="2"/>
  <c r="E60" i="2" s="1"/>
  <c r="F60" i="2" s="1"/>
  <c r="C62" i="2"/>
  <c r="D61" i="2"/>
  <c r="H60" i="2"/>
  <c r="A62" i="2" l="1"/>
  <c r="B61" i="2"/>
  <c r="E61" i="2" s="1"/>
  <c r="F61" i="2" s="1"/>
  <c r="C63" i="2"/>
  <c r="D62" i="2"/>
  <c r="H61" i="2"/>
  <c r="A63" i="2" l="1"/>
  <c r="B62" i="2"/>
  <c r="E62" i="2" s="1"/>
  <c r="F62" i="2" s="1"/>
  <c r="C64" i="2"/>
  <c r="D63" i="2"/>
  <c r="H62" i="2"/>
  <c r="A64" i="2" l="1"/>
  <c r="B63" i="2"/>
  <c r="E63" i="2" s="1"/>
  <c r="F63" i="2" s="1"/>
  <c r="C65" i="2"/>
  <c r="D64" i="2"/>
  <c r="H63" i="2"/>
  <c r="A65" i="2" l="1"/>
  <c r="B64" i="2"/>
  <c r="E64" i="2" s="1"/>
  <c r="F64" i="2" s="1"/>
  <c r="C66" i="2"/>
  <c r="D65" i="2"/>
  <c r="H64" i="2"/>
  <c r="A66" i="2" l="1"/>
  <c r="B65" i="2"/>
  <c r="E65" i="2" s="1"/>
  <c r="F65" i="2" s="1"/>
  <c r="C67" i="2"/>
  <c r="D66" i="2"/>
  <c r="H65" i="2"/>
  <c r="A67" i="2" l="1"/>
  <c r="B66" i="2"/>
  <c r="E66" i="2" s="1"/>
  <c r="F66" i="2" s="1"/>
  <c r="C68" i="2"/>
  <c r="D67" i="2"/>
  <c r="H66" i="2"/>
  <c r="A68" i="2" l="1"/>
  <c r="B67" i="2"/>
  <c r="E67" i="2" s="1"/>
  <c r="F67" i="2" s="1"/>
  <c r="C69" i="2"/>
  <c r="D68" i="2"/>
  <c r="H67" i="2"/>
  <c r="A69" i="2" l="1"/>
  <c r="B68" i="2"/>
  <c r="E68" i="2" s="1"/>
  <c r="F68" i="2" s="1"/>
  <c r="C70" i="2"/>
  <c r="D69" i="2"/>
  <c r="H68" i="2"/>
  <c r="A70" i="2" l="1"/>
  <c r="B69" i="2"/>
  <c r="E69" i="2" s="1"/>
  <c r="F69" i="2" s="1"/>
  <c r="C71" i="2"/>
  <c r="D70" i="2"/>
  <c r="H69" i="2"/>
  <c r="A71" i="2" l="1"/>
  <c r="B70" i="2"/>
  <c r="E70" i="2" s="1"/>
  <c r="F70" i="2" s="1"/>
  <c r="C72" i="2"/>
  <c r="D71" i="2"/>
  <c r="H70" i="2"/>
  <c r="A72" i="2" l="1"/>
  <c r="B71" i="2"/>
  <c r="E71" i="2" s="1"/>
  <c r="F71" i="2" s="1"/>
  <c r="C73" i="2"/>
  <c r="D72" i="2"/>
  <c r="H71" i="2"/>
  <c r="A73" i="2" l="1"/>
  <c r="B72" i="2"/>
  <c r="E72" i="2" s="1"/>
  <c r="F72" i="2" s="1"/>
  <c r="C74" i="2"/>
  <c r="D73" i="2"/>
  <c r="H72" i="2"/>
  <c r="A74" i="2" l="1"/>
  <c r="B73" i="2"/>
  <c r="E73" i="2" s="1"/>
  <c r="F73" i="2" s="1"/>
  <c r="C75" i="2"/>
  <c r="D74" i="2"/>
  <c r="H73" i="2"/>
  <c r="A75" i="2" l="1"/>
  <c r="B74" i="2"/>
  <c r="E74" i="2" s="1"/>
  <c r="F74" i="2" s="1"/>
  <c r="C76" i="2"/>
  <c r="D75" i="2"/>
  <c r="H74" i="2"/>
  <c r="A76" i="2" l="1"/>
  <c r="B75" i="2"/>
  <c r="E75" i="2" s="1"/>
  <c r="F75" i="2" s="1"/>
  <c r="C77" i="2"/>
  <c r="D76" i="2"/>
  <c r="H75" i="2"/>
  <c r="A77" i="2" l="1"/>
  <c r="B76" i="2"/>
  <c r="E76" i="2" s="1"/>
  <c r="F76" i="2" s="1"/>
  <c r="C78" i="2"/>
  <c r="D77" i="2"/>
  <c r="H76" i="2"/>
  <c r="A78" i="2" l="1"/>
  <c r="B77" i="2"/>
  <c r="E77" i="2" s="1"/>
  <c r="F77" i="2" s="1"/>
  <c r="C79" i="2"/>
  <c r="D78" i="2"/>
  <c r="H77" i="2"/>
  <c r="A79" i="2" l="1"/>
  <c r="B78" i="2"/>
  <c r="E78" i="2" s="1"/>
  <c r="F78" i="2" s="1"/>
  <c r="C80" i="2"/>
  <c r="D79" i="2"/>
  <c r="H78" i="2"/>
  <c r="A80" i="2" l="1"/>
  <c r="B79" i="2"/>
  <c r="E79" i="2" s="1"/>
  <c r="F79" i="2" s="1"/>
  <c r="C81" i="2"/>
  <c r="D80" i="2"/>
  <c r="H79" i="2"/>
  <c r="A81" i="2" l="1"/>
  <c r="B80" i="2"/>
  <c r="E80" i="2" s="1"/>
  <c r="F80" i="2" s="1"/>
  <c r="C82" i="2"/>
  <c r="D81" i="2"/>
  <c r="H80" i="2"/>
  <c r="A82" i="2" l="1"/>
  <c r="B81" i="2"/>
  <c r="E81" i="2" s="1"/>
  <c r="F81" i="2" s="1"/>
  <c r="C83" i="2"/>
  <c r="D82" i="2"/>
  <c r="H81" i="2"/>
  <c r="A83" i="2" l="1"/>
  <c r="B82" i="2"/>
  <c r="E82" i="2" s="1"/>
  <c r="F82" i="2" s="1"/>
  <c r="C84" i="2"/>
  <c r="D83" i="2"/>
  <c r="H82" i="2"/>
  <c r="A84" i="2" l="1"/>
  <c r="B83" i="2"/>
  <c r="E83" i="2" s="1"/>
  <c r="F83" i="2" s="1"/>
  <c r="C85" i="2"/>
  <c r="D84" i="2"/>
  <c r="H83" i="2"/>
  <c r="A85" i="2" l="1"/>
  <c r="B84" i="2"/>
  <c r="E84" i="2" s="1"/>
  <c r="F84" i="2" s="1"/>
  <c r="C86" i="2"/>
  <c r="D85" i="2"/>
  <c r="H84" i="2"/>
  <c r="A86" i="2" l="1"/>
  <c r="B85" i="2"/>
  <c r="E85" i="2" s="1"/>
  <c r="F85" i="2" s="1"/>
  <c r="C87" i="2"/>
  <c r="D86" i="2"/>
  <c r="H85" i="2"/>
  <c r="A87" i="2" l="1"/>
  <c r="B86" i="2"/>
  <c r="E86" i="2" s="1"/>
  <c r="F86" i="2" s="1"/>
  <c r="C88" i="2"/>
  <c r="D87" i="2"/>
  <c r="H86" i="2"/>
  <c r="A88" i="2" l="1"/>
  <c r="B87" i="2"/>
  <c r="E87" i="2" s="1"/>
  <c r="F87" i="2" s="1"/>
  <c r="C89" i="2"/>
  <c r="D88" i="2"/>
  <c r="H87" i="2"/>
  <c r="A89" i="2" l="1"/>
  <c r="B88" i="2"/>
  <c r="E88" i="2" s="1"/>
  <c r="F88" i="2" s="1"/>
  <c r="C90" i="2"/>
  <c r="D89" i="2"/>
  <c r="H88" i="2"/>
  <c r="A90" i="2" l="1"/>
  <c r="B89" i="2"/>
  <c r="E89" i="2" s="1"/>
  <c r="F89" i="2" s="1"/>
  <c r="C91" i="2"/>
  <c r="D90" i="2"/>
  <c r="H89" i="2"/>
  <c r="A91" i="2" l="1"/>
  <c r="B90" i="2"/>
  <c r="E90" i="2" s="1"/>
  <c r="F90" i="2" s="1"/>
  <c r="C92" i="2"/>
  <c r="D91" i="2"/>
  <c r="H90" i="2"/>
  <c r="A92" i="2" l="1"/>
  <c r="B91" i="2"/>
  <c r="E91" i="2" s="1"/>
  <c r="F91" i="2" s="1"/>
  <c r="C93" i="2"/>
  <c r="D92" i="2"/>
  <c r="H91" i="2"/>
  <c r="A93" i="2" l="1"/>
  <c r="B92" i="2"/>
  <c r="E92" i="2" s="1"/>
  <c r="F92" i="2" s="1"/>
  <c r="C94" i="2"/>
  <c r="D93" i="2"/>
  <c r="H92" i="2"/>
  <c r="A94" i="2" l="1"/>
  <c r="B93" i="2"/>
  <c r="E93" i="2" s="1"/>
  <c r="F93" i="2" s="1"/>
  <c r="C95" i="2"/>
  <c r="D94" i="2"/>
  <c r="H93" i="2"/>
  <c r="A95" i="2" l="1"/>
  <c r="B94" i="2"/>
  <c r="E94" i="2" s="1"/>
  <c r="F94" i="2" s="1"/>
  <c r="C96" i="2"/>
  <c r="D95" i="2"/>
  <c r="H94" i="2"/>
  <c r="A96" i="2" l="1"/>
  <c r="B95" i="2"/>
  <c r="E95" i="2" s="1"/>
  <c r="F95" i="2" s="1"/>
  <c r="C97" i="2"/>
  <c r="D96" i="2"/>
  <c r="H95" i="2"/>
  <c r="A97" i="2" l="1"/>
  <c r="B96" i="2"/>
  <c r="E96" i="2" s="1"/>
  <c r="F96" i="2" s="1"/>
  <c r="C98" i="2"/>
  <c r="D97" i="2"/>
  <c r="H96" i="2"/>
  <c r="A98" i="2" l="1"/>
  <c r="B97" i="2"/>
  <c r="E97" i="2" s="1"/>
  <c r="F97" i="2" s="1"/>
  <c r="C99" i="2"/>
  <c r="D98" i="2"/>
  <c r="H97" i="2"/>
  <c r="A99" i="2" l="1"/>
  <c r="B98" i="2"/>
  <c r="E98" i="2" s="1"/>
  <c r="F98" i="2" s="1"/>
  <c r="C100" i="2"/>
  <c r="D99" i="2"/>
  <c r="H98" i="2"/>
  <c r="A100" i="2" l="1"/>
  <c r="B99" i="2"/>
  <c r="E99" i="2" s="1"/>
  <c r="F99" i="2" s="1"/>
  <c r="C101" i="2"/>
  <c r="D100" i="2"/>
  <c r="H99" i="2"/>
  <c r="A101" i="2" l="1"/>
  <c r="B100" i="2"/>
  <c r="E100" i="2" s="1"/>
  <c r="F100" i="2" s="1"/>
  <c r="C102" i="2"/>
  <c r="D101" i="2"/>
  <c r="H100" i="2"/>
  <c r="A102" i="2" l="1"/>
  <c r="B101" i="2"/>
  <c r="E101" i="2" s="1"/>
  <c r="F101" i="2" s="1"/>
  <c r="C103" i="2"/>
  <c r="D102" i="2"/>
  <c r="H101" i="2"/>
  <c r="A103" i="2" l="1"/>
  <c r="B102" i="2"/>
  <c r="E102" i="2" s="1"/>
  <c r="F102" i="2" s="1"/>
  <c r="C104" i="2"/>
  <c r="D103" i="2"/>
  <c r="H102" i="2"/>
  <c r="A104" i="2" l="1"/>
  <c r="B103" i="2"/>
  <c r="E103" i="2" s="1"/>
  <c r="F103" i="2" s="1"/>
  <c r="C105" i="2"/>
  <c r="D104" i="2"/>
  <c r="H103" i="2"/>
  <c r="A105" i="2" l="1"/>
  <c r="B104" i="2"/>
  <c r="E104" i="2" s="1"/>
  <c r="F104" i="2" s="1"/>
  <c r="C106" i="2"/>
  <c r="D105" i="2"/>
  <c r="H104" i="2"/>
  <c r="A106" i="2" l="1"/>
  <c r="B105" i="2"/>
  <c r="E105" i="2" s="1"/>
  <c r="F105" i="2" s="1"/>
  <c r="C107" i="2"/>
  <c r="D106" i="2"/>
  <c r="H105" i="2"/>
  <c r="A107" i="2" l="1"/>
  <c r="B106" i="2"/>
  <c r="E106" i="2" s="1"/>
  <c r="F106" i="2" s="1"/>
  <c r="C108" i="2"/>
  <c r="D107" i="2"/>
  <c r="H106" i="2"/>
  <c r="A108" i="2" l="1"/>
  <c r="B107" i="2"/>
  <c r="E107" i="2" s="1"/>
  <c r="F107" i="2" s="1"/>
  <c r="C109" i="2"/>
  <c r="D108" i="2"/>
  <c r="H107" i="2"/>
  <c r="A109" i="2" l="1"/>
  <c r="B108" i="2"/>
  <c r="E108" i="2" s="1"/>
  <c r="F108" i="2" s="1"/>
  <c r="C110" i="2"/>
  <c r="D109" i="2"/>
  <c r="H108" i="2"/>
  <c r="A110" i="2" l="1"/>
  <c r="B109" i="2"/>
  <c r="E109" i="2" s="1"/>
  <c r="F109" i="2" s="1"/>
  <c r="C111" i="2"/>
  <c r="D110" i="2"/>
  <c r="H109" i="2"/>
  <c r="A111" i="2" l="1"/>
  <c r="B110" i="2"/>
  <c r="E110" i="2" s="1"/>
  <c r="F110" i="2" s="1"/>
  <c r="C112" i="2"/>
  <c r="D111" i="2"/>
  <c r="H110" i="2"/>
  <c r="A112" i="2" l="1"/>
  <c r="B111" i="2"/>
  <c r="E111" i="2" s="1"/>
  <c r="F111" i="2" s="1"/>
  <c r="C113" i="2"/>
  <c r="D112" i="2"/>
  <c r="H111" i="2"/>
  <c r="A113" i="2" l="1"/>
  <c r="B112" i="2"/>
  <c r="E112" i="2" s="1"/>
  <c r="F112" i="2" s="1"/>
  <c r="C114" i="2"/>
  <c r="D113" i="2"/>
  <c r="H112" i="2"/>
  <c r="A114" i="2" l="1"/>
  <c r="B113" i="2"/>
  <c r="E113" i="2" s="1"/>
  <c r="F113" i="2" s="1"/>
  <c r="C115" i="2"/>
  <c r="D114" i="2"/>
  <c r="H113" i="2"/>
  <c r="A115" i="2" l="1"/>
  <c r="B114" i="2"/>
  <c r="E114" i="2" s="1"/>
  <c r="F114" i="2" s="1"/>
  <c r="C116" i="2"/>
  <c r="D115" i="2"/>
  <c r="H114" i="2"/>
  <c r="A116" i="2" l="1"/>
  <c r="B115" i="2"/>
  <c r="E115" i="2" s="1"/>
  <c r="F115" i="2" s="1"/>
  <c r="C117" i="2"/>
  <c r="D116" i="2"/>
  <c r="H115" i="2"/>
  <c r="A117" i="2" l="1"/>
  <c r="B116" i="2"/>
  <c r="E116" i="2" s="1"/>
  <c r="F116" i="2" s="1"/>
  <c r="C118" i="2"/>
  <c r="D117" i="2"/>
  <c r="H116" i="2"/>
  <c r="A118" i="2" l="1"/>
  <c r="B117" i="2"/>
  <c r="E117" i="2" s="1"/>
  <c r="F117" i="2" s="1"/>
  <c r="C119" i="2"/>
  <c r="D118" i="2"/>
  <c r="H117" i="2"/>
  <c r="A119" i="2" l="1"/>
  <c r="B118" i="2"/>
  <c r="E118" i="2" s="1"/>
  <c r="F118" i="2" s="1"/>
  <c r="C120" i="2"/>
  <c r="D119" i="2"/>
  <c r="H118" i="2"/>
  <c r="A120" i="2" l="1"/>
  <c r="B119" i="2"/>
  <c r="E119" i="2" s="1"/>
  <c r="F119" i="2" s="1"/>
  <c r="C121" i="2"/>
  <c r="D120" i="2"/>
  <c r="H119" i="2"/>
  <c r="A121" i="2" l="1"/>
  <c r="B120" i="2"/>
  <c r="E120" i="2" s="1"/>
  <c r="F120" i="2" s="1"/>
  <c r="C122" i="2"/>
  <c r="D121" i="2"/>
  <c r="H120" i="2"/>
  <c r="A122" i="2" l="1"/>
  <c r="B121" i="2"/>
  <c r="E121" i="2" s="1"/>
  <c r="F121" i="2" s="1"/>
  <c r="C123" i="2"/>
  <c r="D122" i="2"/>
  <c r="H121" i="2"/>
  <c r="A123" i="2" l="1"/>
  <c r="B122" i="2"/>
  <c r="E122" i="2" s="1"/>
  <c r="F122" i="2" s="1"/>
  <c r="C124" i="2"/>
  <c r="D123" i="2"/>
  <c r="H122" i="2"/>
  <c r="A124" i="2" l="1"/>
  <c r="B123" i="2"/>
  <c r="E123" i="2" s="1"/>
  <c r="F123" i="2" s="1"/>
  <c r="C125" i="2"/>
  <c r="D124" i="2"/>
  <c r="H123" i="2"/>
  <c r="A125" i="2" l="1"/>
  <c r="B124" i="2"/>
  <c r="E124" i="2" s="1"/>
  <c r="F124" i="2" s="1"/>
  <c r="C126" i="2"/>
  <c r="D125" i="2"/>
  <c r="H124" i="2"/>
  <c r="A126" i="2" l="1"/>
  <c r="B125" i="2"/>
  <c r="E125" i="2" s="1"/>
  <c r="F125" i="2" s="1"/>
  <c r="C127" i="2"/>
  <c r="D126" i="2"/>
  <c r="H125" i="2"/>
  <c r="A127" i="2" l="1"/>
  <c r="B126" i="2"/>
  <c r="E126" i="2" s="1"/>
  <c r="F126" i="2" s="1"/>
  <c r="C128" i="2"/>
  <c r="D127" i="2"/>
  <c r="H126" i="2"/>
  <c r="A128" i="2" l="1"/>
  <c r="B127" i="2"/>
  <c r="E127" i="2" s="1"/>
  <c r="F127" i="2" s="1"/>
  <c r="C129" i="2"/>
  <c r="D128" i="2"/>
  <c r="H127" i="2"/>
  <c r="A129" i="2" l="1"/>
  <c r="B128" i="2"/>
  <c r="E128" i="2" s="1"/>
  <c r="F128" i="2" s="1"/>
  <c r="C130" i="2"/>
  <c r="D129" i="2"/>
  <c r="H128" i="2"/>
  <c r="A130" i="2" l="1"/>
  <c r="B129" i="2"/>
  <c r="E129" i="2" s="1"/>
  <c r="F129" i="2" s="1"/>
  <c r="C131" i="2"/>
  <c r="D130" i="2"/>
  <c r="H129" i="2"/>
  <c r="A131" i="2" l="1"/>
  <c r="B130" i="2"/>
  <c r="E130" i="2" s="1"/>
  <c r="F130" i="2" s="1"/>
  <c r="C132" i="2"/>
  <c r="D131" i="2"/>
  <c r="H130" i="2"/>
  <c r="A132" i="2" l="1"/>
  <c r="B131" i="2"/>
  <c r="E131" i="2" s="1"/>
  <c r="F131" i="2" s="1"/>
  <c r="C133" i="2"/>
  <c r="D132" i="2"/>
  <c r="H131" i="2"/>
  <c r="A133" i="2" l="1"/>
  <c r="B132" i="2"/>
  <c r="E132" i="2" s="1"/>
  <c r="F132" i="2" s="1"/>
  <c r="C134" i="2"/>
  <c r="D133" i="2"/>
  <c r="H132" i="2"/>
  <c r="A134" i="2" l="1"/>
  <c r="B133" i="2"/>
  <c r="E133" i="2" s="1"/>
  <c r="F133" i="2" s="1"/>
  <c r="C135" i="2"/>
  <c r="D134" i="2"/>
  <c r="H133" i="2"/>
  <c r="A135" i="2" l="1"/>
  <c r="B134" i="2"/>
  <c r="E134" i="2" s="1"/>
  <c r="F134" i="2" s="1"/>
  <c r="C136" i="2"/>
  <c r="D135" i="2"/>
  <c r="H134" i="2"/>
  <c r="A136" i="2" l="1"/>
  <c r="B135" i="2"/>
  <c r="E135" i="2" s="1"/>
  <c r="F135" i="2" s="1"/>
  <c r="C137" i="2"/>
  <c r="D136" i="2"/>
  <c r="H135" i="2"/>
  <c r="A137" i="2" l="1"/>
  <c r="B136" i="2"/>
  <c r="E136" i="2" s="1"/>
  <c r="F136" i="2" s="1"/>
  <c r="C138" i="2"/>
  <c r="D137" i="2"/>
  <c r="H136" i="2"/>
  <c r="A138" i="2" l="1"/>
  <c r="B137" i="2"/>
  <c r="E137" i="2" s="1"/>
  <c r="F137" i="2" s="1"/>
  <c r="C139" i="2"/>
  <c r="D138" i="2"/>
  <c r="H137" i="2"/>
  <c r="A139" i="2" l="1"/>
  <c r="B138" i="2"/>
  <c r="E138" i="2" s="1"/>
  <c r="F138" i="2" s="1"/>
  <c r="C140" i="2"/>
  <c r="D139" i="2"/>
  <c r="H138" i="2"/>
  <c r="A140" i="2" l="1"/>
  <c r="B139" i="2"/>
  <c r="E139" i="2" s="1"/>
  <c r="F139" i="2" s="1"/>
  <c r="C141" i="2"/>
  <c r="D140" i="2"/>
  <c r="H139" i="2"/>
  <c r="A141" i="2" l="1"/>
  <c r="B140" i="2"/>
  <c r="E140" i="2" s="1"/>
  <c r="F140" i="2" s="1"/>
  <c r="C142" i="2"/>
  <c r="D141" i="2"/>
  <c r="H140" i="2"/>
  <c r="A142" i="2" l="1"/>
  <c r="B141" i="2"/>
  <c r="E141" i="2" s="1"/>
  <c r="F141" i="2" s="1"/>
  <c r="C143" i="2"/>
  <c r="D142" i="2"/>
  <c r="H141" i="2"/>
  <c r="A143" i="2" l="1"/>
  <c r="B142" i="2"/>
  <c r="E142" i="2" s="1"/>
  <c r="F142" i="2" s="1"/>
  <c r="C144" i="2"/>
  <c r="D143" i="2"/>
  <c r="H142" i="2"/>
  <c r="A144" i="2" l="1"/>
  <c r="B143" i="2"/>
  <c r="E143" i="2" s="1"/>
  <c r="F143" i="2" s="1"/>
  <c r="C145" i="2"/>
  <c r="D144" i="2"/>
  <c r="H143" i="2"/>
  <c r="A145" i="2" l="1"/>
  <c r="B144" i="2"/>
  <c r="E144" i="2" s="1"/>
  <c r="F144" i="2" s="1"/>
  <c r="C146" i="2"/>
  <c r="D145" i="2"/>
  <c r="H144" i="2"/>
  <c r="A146" i="2" l="1"/>
  <c r="B145" i="2"/>
  <c r="E145" i="2" s="1"/>
  <c r="F145" i="2" s="1"/>
  <c r="C147" i="2"/>
  <c r="D146" i="2"/>
  <c r="H145" i="2"/>
  <c r="A147" i="2" l="1"/>
  <c r="B146" i="2"/>
  <c r="E146" i="2" s="1"/>
  <c r="F146" i="2" s="1"/>
  <c r="C148" i="2"/>
  <c r="D147" i="2"/>
  <c r="H146" i="2"/>
  <c r="A148" i="2" l="1"/>
  <c r="B147" i="2"/>
  <c r="E147" i="2" s="1"/>
  <c r="F147" i="2" s="1"/>
  <c r="C149" i="2"/>
  <c r="D148" i="2"/>
  <c r="H147" i="2"/>
  <c r="A149" i="2" l="1"/>
  <c r="B148" i="2"/>
  <c r="E148" i="2" s="1"/>
  <c r="F148" i="2" s="1"/>
  <c r="C150" i="2"/>
  <c r="D149" i="2"/>
  <c r="H148" i="2"/>
  <c r="A150" i="2" l="1"/>
  <c r="B149" i="2"/>
  <c r="E149" i="2" s="1"/>
  <c r="F149" i="2" s="1"/>
  <c r="C151" i="2"/>
  <c r="D150" i="2"/>
  <c r="H149" i="2"/>
  <c r="A151" i="2" l="1"/>
  <c r="B150" i="2"/>
  <c r="E150" i="2" s="1"/>
  <c r="F150" i="2" s="1"/>
  <c r="C152" i="2"/>
  <c r="D151" i="2"/>
  <c r="H150" i="2"/>
  <c r="A152" i="2" l="1"/>
  <c r="B151" i="2"/>
  <c r="E151" i="2" s="1"/>
  <c r="F151" i="2" s="1"/>
  <c r="C153" i="2"/>
  <c r="D152" i="2"/>
  <c r="H151" i="2"/>
  <c r="A153" i="2" l="1"/>
  <c r="B152" i="2"/>
  <c r="E152" i="2" s="1"/>
  <c r="F152" i="2" s="1"/>
  <c r="C154" i="2"/>
  <c r="D153" i="2"/>
  <c r="H152" i="2"/>
  <c r="A154" i="2" l="1"/>
  <c r="B153" i="2"/>
  <c r="E153" i="2" s="1"/>
  <c r="F153" i="2" s="1"/>
  <c r="C155" i="2"/>
  <c r="D154" i="2"/>
  <c r="H153" i="2"/>
  <c r="A155" i="2" l="1"/>
  <c r="B154" i="2"/>
  <c r="E154" i="2" s="1"/>
  <c r="F154" i="2" s="1"/>
  <c r="C156" i="2"/>
  <c r="D155" i="2"/>
  <c r="H154" i="2"/>
  <c r="A156" i="2" l="1"/>
  <c r="B155" i="2"/>
  <c r="E155" i="2" s="1"/>
  <c r="F155" i="2" s="1"/>
  <c r="C157" i="2"/>
  <c r="D156" i="2"/>
  <c r="H155" i="2"/>
  <c r="A157" i="2" l="1"/>
  <c r="B156" i="2"/>
  <c r="E156" i="2" s="1"/>
  <c r="F156" i="2" s="1"/>
  <c r="C158" i="2"/>
  <c r="D157" i="2"/>
  <c r="H156" i="2"/>
  <c r="A158" i="2" l="1"/>
  <c r="B157" i="2"/>
  <c r="E157" i="2" s="1"/>
  <c r="F157" i="2" s="1"/>
  <c r="C159" i="2"/>
  <c r="D158" i="2"/>
  <c r="H157" i="2"/>
  <c r="A159" i="2" l="1"/>
  <c r="B158" i="2"/>
  <c r="E158" i="2" s="1"/>
  <c r="F158" i="2" s="1"/>
  <c r="C160" i="2"/>
  <c r="D159" i="2"/>
  <c r="H158" i="2"/>
  <c r="A160" i="2" l="1"/>
  <c r="B159" i="2"/>
  <c r="E159" i="2" s="1"/>
  <c r="F159" i="2" s="1"/>
  <c r="C161" i="2"/>
  <c r="D160" i="2"/>
  <c r="H159" i="2"/>
  <c r="A161" i="2" l="1"/>
  <c r="B160" i="2"/>
  <c r="E160" i="2" s="1"/>
  <c r="F160" i="2" s="1"/>
  <c r="C162" i="2"/>
  <c r="D161" i="2"/>
  <c r="H160" i="2"/>
  <c r="A162" i="2" l="1"/>
  <c r="B161" i="2"/>
  <c r="E161" i="2" s="1"/>
  <c r="F161" i="2" s="1"/>
  <c r="C163" i="2"/>
  <c r="D162" i="2"/>
  <c r="H161" i="2"/>
  <c r="A163" i="2" l="1"/>
  <c r="B162" i="2"/>
  <c r="E162" i="2" s="1"/>
  <c r="F162" i="2" s="1"/>
  <c r="C164" i="2"/>
  <c r="D163" i="2"/>
  <c r="H162" i="2"/>
  <c r="A164" i="2" l="1"/>
  <c r="B163" i="2"/>
  <c r="E163" i="2" s="1"/>
  <c r="F163" i="2" s="1"/>
  <c r="C165" i="2"/>
  <c r="D164" i="2"/>
  <c r="H163" i="2"/>
  <c r="A165" i="2" l="1"/>
  <c r="B164" i="2"/>
  <c r="E164" i="2" s="1"/>
  <c r="F164" i="2" s="1"/>
  <c r="C166" i="2"/>
  <c r="D165" i="2"/>
  <c r="H164" i="2"/>
  <c r="A166" i="2" l="1"/>
  <c r="B165" i="2"/>
  <c r="E165" i="2" s="1"/>
  <c r="F165" i="2" s="1"/>
  <c r="C167" i="2"/>
  <c r="D166" i="2"/>
  <c r="H165" i="2"/>
  <c r="A167" i="2" l="1"/>
  <c r="B166" i="2"/>
  <c r="E166" i="2" s="1"/>
  <c r="F166" i="2" s="1"/>
  <c r="C168" i="2"/>
  <c r="D167" i="2"/>
  <c r="H166" i="2"/>
  <c r="A168" i="2" l="1"/>
  <c r="B167" i="2"/>
  <c r="E167" i="2" s="1"/>
  <c r="F167" i="2" s="1"/>
  <c r="C169" i="2"/>
  <c r="D168" i="2"/>
  <c r="H167" i="2"/>
  <c r="A169" i="2" l="1"/>
  <c r="B168" i="2"/>
  <c r="E168" i="2" s="1"/>
  <c r="F168" i="2" s="1"/>
  <c r="C170" i="2"/>
  <c r="D169" i="2"/>
  <c r="H168" i="2"/>
  <c r="A170" i="2" l="1"/>
  <c r="B169" i="2"/>
  <c r="E169" i="2" s="1"/>
  <c r="F169" i="2" s="1"/>
  <c r="C171" i="2"/>
  <c r="D170" i="2"/>
  <c r="H169" i="2"/>
  <c r="A171" i="2" l="1"/>
  <c r="B170" i="2"/>
  <c r="E170" i="2" s="1"/>
  <c r="F170" i="2" s="1"/>
  <c r="C172" i="2"/>
  <c r="D171" i="2"/>
  <c r="H170" i="2"/>
  <c r="A172" i="2" l="1"/>
  <c r="B171" i="2"/>
  <c r="E171" i="2" s="1"/>
  <c r="F171" i="2" s="1"/>
  <c r="C173" i="2"/>
  <c r="D172" i="2"/>
  <c r="H171" i="2"/>
  <c r="A173" i="2" l="1"/>
  <c r="B172" i="2"/>
  <c r="E172" i="2" s="1"/>
  <c r="F172" i="2" s="1"/>
  <c r="C174" i="2"/>
  <c r="D173" i="2"/>
  <c r="H172" i="2"/>
  <c r="A174" i="2" l="1"/>
  <c r="B173" i="2"/>
  <c r="E173" i="2" s="1"/>
  <c r="F173" i="2" s="1"/>
  <c r="C175" i="2"/>
  <c r="D174" i="2"/>
  <c r="H173" i="2"/>
  <c r="A175" i="2" l="1"/>
  <c r="B174" i="2"/>
  <c r="E174" i="2" s="1"/>
  <c r="F174" i="2" s="1"/>
  <c r="C176" i="2"/>
  <c r="D175" i="2"/>
  <c r="H174" i="2"/>
  <c r="A176" i="2" l="1"/>
  <c r="B175" i="2"/>
  <c r="E175" i="2" s="1"/>
  <c r="F175" i="2" s="1"/>
  <c r="C177" i="2"/>
  <c r="D176" i="2"/>
  <c r="H175" i="2"/>
  <c r="A177" i="2" l="1"/>
  <c r="B176" i="2"/>
  <c r="E176" i="2" s="1"/>
  <c r="F176" i="2" s="1"/>
  <c r="C178" i="2"/>
  <c r="D177" i="2"/>
  <c r="H176" i="2"/>
  <c r="A178" i="2" l="1"/>
  <c r="B177" i="2"/>
  <c r="E177" i="2" s="1"/>
  <c r="F177" i="2" s="1"/>
  <c r="C179" i="2"/>
  <c r="D178" i="2"/>
  <c r="H177" i="2"/>
  <c r="A179" i="2" l="1"/>
  <c r="B178" i="2"/>
  <c r="E178" i="2" s="1"/>
  <c r="F178" i="2" s="1"/>
  <c r="C180" i="2"/>
  <c r="D179" i="2"/>
  <c r="H178" i="2"/>
  <c r="A180" i="2" l="1"/>
  <c r="B179" i="2"/>
  <c r="E179" i="2" s="1"/>
  <c r="F179" i="2" s="1"/>
  <c r="C181" i="2"/>
  <c r="D180" i="2"/>
  <c r="H179" i="2"/>
  <c r="A181" i="2" l="1"/>
  <c r="B180" i="2"/>
  <c r="E180" i="2" s="1"/>
  <c r="F180" i="2" s="1"/>
  <c r="C182" i="2"/>
  <c r="D181" i="2"/>
  <c r="H180" i="2"/>
  <c r="A182" i="2" l="1"/>
  <c r="B181" i="2"/>
  <c r="E181" i="2" s="1"/>
  <c r="F181" i="2" s="1"/>
  <c r="C183" i="2"/>
  <c r="D182" i="2"/>
  <c r="H181" i="2"/>
  <c r="A183" i="2" l="1"/>
  <c r="B182" i="2"/>
  <c r="E182" i="2" s="1"/>
  <c r="F182" i="2" s="1"/>
  <c r="C184" i="2"/>
  <c r="D183" i="2"/>
  <c r="H182" i="2"/>
  <c r="A184" i="2" l="1"/>
  <c r="B183" i="2"/>
  <c r="E183" i="2" s="1"/>
  <c r="F183" i="2" s="1"/>
  <c r="C185" i="2"/>
  <c r="D184" i="2"/>
  <c r="H183" i="2"/>
  <c r="A185" i="2" l="1"/>
  <c r="B184" i="2"/>
  <c r="E184" i="2" s="1"/>
  <c r="F184" i="2" s="1"/>
  <c r="C186" i="2"/>
  <c r="D185" i="2"/>
  <c r="H184" i="2"/>
  <c r="A186" i="2" l="1"/>
  <c r="B185" i="2"/>
  <c r="E185" i="2" s="1"/>
  <c r="F185" i="2" s="1"/>
  <c r="C187" i="2"/>
  <c r="D186" i="2"/>
  <c r="H185" i="2"/>
  <c r="A187" i="2" l="1"/>
  <c r="B186" i="2"/>
  <c r="E186" i="2" s="1"/>
  <c r="F186" i="2" s="1"/>
  <c r="C188" i="2"/>
  <c r="D187" i="2"/>
  <c r="H186" i="2"/>
  <c r="A188" i="2" l="1"/>
  <c r="B187" i="2"/>
  <c r="E187" i="2" s="1"/>
  <c r="F187" i="2" s="1"/>
  <c r="C189" i="2"/>
  <c r="D188" i="2"/>
  <c r="H187" i="2"/>
  <c r="A189" i="2" l="1"/>
  <c r="B188" i="2"/>
  <c r="E188" i="2" s="1"/>
  <c r="F188" i="2" s="1"/>
  <c r="C190" i="2"/>
  <c r="D189" i="2"/>
  <c r="H188" i="2"/>
  <c r="A190" i="2" l="1"/>
  <c r="B189" i="2"/>
  <c r="E189" i="2" s="1"/>
  <c r="F189" i="2" s="1"/>
  <c r="C191" i="2"/>
  <c r="D190" i="2"/>
  <c r="H189" i="2"/>
  <c r="A191" i="2" l="1"/>
  <c r="B190" i="2"/>
  <c r="E190" i="2" s="1"/>
  <c r="F190" i="2" s="1"/>
  <c r="C192" i="2"/>
  <c r="D191" i="2"/>
  <c r="H190" i="2"/>
  <c r="A192" i="2" l="1"/>
  <c r="B191" i="2"/>
  <c r="E191" i="2" s="1"/>
  <c r="F191" i="2" s="1"/>
  <c r="C193" i="2"/>
  <c r="D192" i="2"/>
  <c r="H191" i="2"/>
  <c r="A193" i="2" l="1"/>
  <c r="B192" i="2"/>
  <c r="E192" i="2" s="1"/>
  <c r="F192" i="2" s="1"/>
  <c r="C194" i="2"/>
  <c r="D193" i="2"/>
  <c r="H192" i="2"/>
  <c r="A194" i="2" l="1"/>
  <c r="B193" i="2"/>
  <c r="E193" i="2" s="1"/>
  <c r="F193" i="2" s="1"/>
  <c r="C195" i="2"/>
  <c r="D194" i="2"/>
  <c r="H193" i="2"/>
  <c r="A195" i="2" l="1"/>
  <c r="B194" i="2"/>
  <c r="E194" i="2" s="1"/>
  <c r="F194" i="2" s="1"/>
  <c r="C196" i="2"/>
  <c r="D195" i="2"/>
  <c r="H194" i="2"/>
  <c r="A196" i="2" l="1"/>
  <c r="B195" i="2"/>
  <c r="E195" i="2" s="1"/>
  <c r="F195" i="2" s="1"/>
  <c r="C197" i="2"/>
  <c r="D196" i="2"/>
  <c r="H195" i="2"/>
  <c r="A197" i="2" l="1"/>
  <c r="B196" i="2"/>
  <c r="E196" i="2" s="1"/>
  <c r="F196" i="2" s="1"/>
  <c r="C198" i="2"/>
  <c r="D197" i="2"/>
  <c r="H196" i="2"/>
  <c r="A198" i="2" l="1"/>
  <c r="B197" i="2"/>
  <c r="E197" i="2" s="1"/>
  <c r="F197" i="2" s="1"/>
  <c r="C199" i="2"/>
  <c r="D198" i="2"/>
  <c r="H197" i="2"/>
  <c r="A199" i="2" l="1"/>
  <c r="B198" i="2"/>
  <c r="E198" i="2" s="1"/>
  <c r="F198" i="2" s="1"/>
  <c r="C200" i="2"/>
  <c r="D199" i="2"/>
  <c r="H198" i="2"/>
  <c r="A200" i="2" l="1"/>
  <c r="B199" i="2"/>
  <c r="E199" i="2" s="1"/>
  <c r="F199" i="2" s="1"/>
  <c r="C201" i="2"/>
  <c r="D200" i="2"/>
  <c r="H199" i="2"/>
  <c r="A201" i="2" l="1"/>
  <c r="B200" i="2"/>
  <c r="E200" i="2" s="1"/>
  <c r="F200" i="2" s="1"/>
  <c r="C202" i="2"/>
  <c r="D201" i="2"/>
  <c r="H200" i="2"/>
  <c r="A202" i="2" l="1"/>
  <c r="B201" i="2"/>
  <c r="E201" i="2" s="1"/>
  <c r="F201" i="2" s="1"/>
  <c r="C203" i="2"/>
  <c r="D202" i="2"/>
  <c r="H201" i="2"/>
  <c r="A203" i="2" l="1"/>
  <c r="B202" i="2"/>
  <c r="E202" i="2" s="1"/>
  <c r="F202" i="2" s="1"/>
  <c r="C204" i="2"/>
  <c r="D203" i="2"/>
  <c r="H202" i="2"/>
  <c r="A204" i="2" l="1"/>
  <c r="B203" i="2"/>
  <c r="E203" i="2" s="1"/>
  <c r="F203" i="2" s="1"/>
  <c r="C205" i="2"/>
  <c r="D204" i="2"/>
  <c r="H203" i="2"/>
  <c r="A205" i="2" l="1"/>
  <c r="B204" i="2"/>
  <c r="E204" i="2" s="1"/>
  <c r="F204" i="2" s="1"/>
  <c r="C206" i="2"/>
  <c r="D205" i="2"/>
  <c r="H204" i="2"/>
  <c r="A206" i="2" l="1"/>
  <c r="B206" i="2" s="1"/>
  <c r="B205" i="2"/>
  <c r="E205" i="2" s="1"/>
  <c r="F205" i="2" s="1"/>
  <c r="D206" i="2"/>
  <c r="H205" i="2"/>
  <c r="E206" i="2" l="1"/>
  <c r="F206" i="2" s="1"/>
  <c r="H206" i="2"/>
</calcChain>
</file>

<file path=xl/sharedStrings.xml><?xml version="1.0" encoding="utf-8"?>
<sst xmlns="http://schemas.openxmlformats.org/spreadsheetml/2006/main" count="167" uniqueCount="54">
  <si>
    <t>Gravitační koeficient</t>
  </si>
  <si>
    <t>Přetížení</t>
  </si>
  <si>
    <t>Poloměr zatáčky</t>
  </si>
  <si>
    <t>Trvání jedné zatáčky</t>
  </si>
  <si>
    <t>Úhlová rychlost</t>
  </si>
  <si>
    <t>Zadejte:</t>
  </si>
  <si>
    <t>Náklon letadla</t>
  </si>
  <si>
    <t>Letadlo v zatáčce</t>
  </si>
  <si>
    <t>Obvod zatáčky</t>
  </si>
  <si>
    <t>Průměr zatáčky</t>
  </si>
  <si>
    <t>zvýšení pádové rychlosti</t>
  </si>
  <si>
    <t>Rychlost letadla v zatáčce</t>
  </si>
  <si>
    <t>Ivan Harašta, LKTO</t>
  </si>
  <si>
    <t>rychlost vodorovného letu (w min)</t>
  </si>
  <si>
    <t>w min při vodorovném letu</t>
  </si>
  <si>
    <t>w min v zatáčce</t>
  </si>
  <si>
    <t>ideální rychlost v zatáčce</t>
  </si>
  <si>
    <t>skutečné stoupání při ustředění</t>
  </si>
  <si>
    <t>druh stoupání</t>
  </si>
  <si>
    <t>parametry</t>
  </si>
  <si>
    <t>Ws střed</t>
  </si>
  <si>
    <t>faktor x</t>
  </si>
  <si>
    <t>poloměr</t>
  </si>
  <si>
    <t>?</t>
  </si>
  <si>
    <r>
      <t>w = 11.8 [r(T</t>
    </r>
    <r>
      <rPr>
        <vertAlign val="subscript"/>
        <sz val="11"/>
        <color rgb="FF000000"/>
        <rFont val="Arial"/>
        <family val="2"/>
        <charset val="238"/>
      </rPr>
      <t>p</t>
    </r>
    <r>
      <rPr>
        <sz val="10"/>
        <color rgb="FF000000"/>
        <rFont val="Arial"/>
        <family val="2"/>
        <charset val="238"/>
      </rPr>
      <t> - T</t>
    </r>
    <r>
      <rPr>
        <vertAlign val="subscript"/>
        <sz val="11"/>
        <color rgb="FF000000"/>
        <rFont val="Arial"/>
        <family val="2"/>
        <charset val="238"/>
      </rPr>
      <t>e</t>
    </r>
    <r>
      <rPr>
        <sz val="10"/>
        <color rgb="FF000000"/>
        <rFont val="Arial"/>
        <family val="2"/>
        <charset val="238"/>
      </rPr>
      <t>)/T</t>
    </r>
    <r>
      <rPr>
        <vertAlign val="subscript"/>
        <sz val="11"/>
        <color rgb="FF000000"/>
        <rFont val="Arial"/>
        <family val="2"/>
        <charset val="238"/>
      </rPr>
      <t>e</t>
    </r>
    <r>
      <rPr>
        <sz val="10"/>
        <color rgb="FF000000"/>
        <rFont val="Arial"/>
        <family val="2"/>
        <charset val="238"/>
      </rPr>
      <t>]</t>
    </r>
    <r>
      <rPr>
        <vertAlign val="superscript"/>
        <sz val="11"/>
        <color rgb="FF000000"/>
        <rFont val="Arial"/>
        <family val="2"/>
        <charset val="238"/>
      </rPr>
      <t>1/2</t>
    </r>
  </si>
  <si>
    <t xml:space="preserve">teplota </t>
  </si>
  <si>
    <t>rozdíl T</t>
  </si>
  <si>
    <t>T p</t>
  </si>
  <si>
    <t>w</t>
  </si>
  <si>
    <t>T e</t>
  </si>
  <si>
    <t>rychlost</t>
  </si>
  <si>
    <t xml:space="preserve">          stoupání</t>
  </si>
  <si>
    <t>0,2*(4*(x+60)+10)*e^(-1/73*(x+100)^1,05)-300/(x^1,05+80)</t>
  </si>
  <si>
    <t>zisk výšky z jedné zatáčky</t>
  </si>
  <si>
    <t>rychlost vodorovného letu (pádová -w min)</t>
  </si>
  <si>
    <t>Ws při vodorovném letu</t>
  </si>
  <si>
    <t>Ws v zatáčce</t>
  </si>
  <si>
    <t>rychlost vodorovného letu (pádová - w min)</t>
  </si>
  <si>
    <t>při průměrném stoupání 2,72 m/s vychází přeskoková rychlost 195 km/h a cestovní rychlost 111,9 km/h</t>
  </si>
  <si>
    <t>při průměrném stoupání 3,46 m/s vychází přeskoková rychlost 176 km/h a cestovní rychlost 110,9 km/h</t>
  </si>
  <si>
    <t>Nimbus 2 (bez vody = 30kg/m3)</t>
  </si>
  <si>
    <t>Nimbus 2 (s vodou = 40kg/m3)</t>
  </si>
  <si>
    <t>ASW 15B (max = 360kg)</t>
  </si>
  <si>
    <t>při kroužení pouze 30°náklonu dosáhnete pouze stoupání 1,54m/s, přeskoková rychlost 158 km/h a cestovní rychlost 87,6 km/h</t>
  </si>
  <si>
    <t>Std Cirrrus (30kg/m2)</t>
  </si>
  <si>
    <t>při průměrném stoupání 2,5 m/s vychází přeskoková rychlost 148 km/h a cestovní rychlost 90,7 km/h</t>
  </si>
  <si>
    <t>Astir CS G-102</t>
  </si>
  <si>
    <t>při průměrném stoupání 3,03 m/s vychází přeskoková rychlost 157 km/h a cestovní rychlost 95,5 km/h</t>
  </si>
  <si>
    <t>při průměrném stoupání 2,99 m/s vychází přeskoková rychlost 157 km/h a cestovní rychlost 95,7 km/h</t>
  </si>
  <si>
    <t>při kroužení pouze 25° náklonu (30s) dosáhnete pouze stoupání 1,89m/s, přeskoková rychlost 139 km/h a cestovní rychlost 79,6 km/h</t>
  </si>
  <si>
    <t>Duo Discus sólo (bez vody = 31kg/m3)</t>
  </si>
  <si>
    <t>při průměrném stoupání 2,85 m/s vychází přeskoková rychlost 167 km/h a cestovní rychlost 100,3 km/h</t>
  </si>
  <si>
    <t>Duo Discus (s vodou = 45 kg/m3)</t>
  </si>
  <si>
    <t>při průměrném stoupání 1,74 m/s vychází přeskoková rychlost 167 km/h a cestovní rychlost 90,5 km/h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</si>
</sst>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K_č_-;\-* #,##0.00\ _K_č_-;_-* &quot;-&quot;??\ _K_č_-;_-@_-"/>
    <numFmt numFmtId="164" formatCode="0.00\ &quot;G&quot;"/>
    <numFmt numFmtId="165" formatCode="#\ &quot;°/s&quot;"/>
    <numFmt numFmtId="166" formatCode="#\ &quot;s&quot;"/>
    <numFmt numFmtId="167" formatCode="#,##0\ &quot;m&quot;"/>
    <numFmt numFmtId="168" formatCode="0&quot;°&quot;"/>
    <numFmt numFmtId="169" formatCode="##\ &quot;km/h&quot;"/>
    <numFmt numFmtId="170" formatCode="0.00\ &quot;m/s&quot;"/>
    <numFmt numFmtId="171" formatCode="0\ &quot;m&quot;"/>
    <numFmt numFmtId="172" formatCode="0&quot;K&quot;"/>
    <numFmt numFmtId="173" formatCode="0.0&quot;°&quot;"/>
    <numFmt numFmtId="174" formatCode="0.0&quot;K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vertAlign val="subscript"/>
      <sz val="11"/>
      <color rgb="FF000000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2" fontId="0" fillId="0" borderId="0" xfId="0" applyNumberFormat="1" applyBorder="1"/>
    <xf numFmtId="0" fontId="0" fillId="0" borderId="0" xfId="0" applyFill="1" applyBorder="1"/>
    <xf numFmtId="169" fontId="0" fillId="0" borderId="4" xfId="0" applyNumberFormat="1" applyBorder="1"/>
    <xf numFmtId="168" fontId="0" fillId="0" borderId="5" xfId="0" applyNumberFormat="1" applyBorder="1"/>
    <xf numFmtId="169" fontId="0" fillId="0" borderId="5" xfId="0" applyNumberFormat="1" applyBorder="1"/>
    <xf numFmtId="2" fontId="0" fillId="0" borderId="6" xfId="0" applyNumberFormat="1" applyBorder="1"/>
    <xf numFmtId="164" fontId="0" fillId="2" borderId="4" xfId="1" applyNumberFormat="1" applyFont="1" applyFill="1" applyBorder="1"/>
    <xf numFmtId="9" fontId="0" fillId="2" borderId="5" xfId="1" applyNumberFormat="1" applyFont="1" applyFill="1" applyBorder="1"/>
    <xf numFmtId="169" fontId="0" fillId="2" borderId="5" xfId="0" applyNumberFormat="1" applyFill="1" applyBorder="1"/>
    <xf numFmtId="167" fontId="0" fillId="2" borderId="5" xfId="0" applyNumberFormat="1" applyFill="1" applyBorder="1"/>
    <xf numFmtId="166" fontId="0" fillId="2" borderId="5" xfId="0" applyNumberFormat="1" applyFill="1" applyBorder="1"/>
    <xf numFmtId="165" fontId="0" fillId="2" borderId="6" xfId="0" applyNumberFormat="1" applyFill="1" applyBorder="1"/>
    <xf numFmtId="170" fontId="0" fillId="0" borderId="5" xfId="0" applyNumberFormat="1" applyBorder="1"/>
    <xf numFmtId="0" fontId="0" fillId="3" borderId="2" xfId="0" applyFill="1" applyBorder="1"/>
    <xf numFmtId="0" fontId="0" fillId="3" borderId="0" xfId="0" applyFill="1" applyBorder="1"/>
    <xf numFmtId="170" fontId="0" fillId="3" borderId="5" xfId="0" applyNumberFormat="1" applyFill="1" applyBorder="1"/>
    <xf numFmtId="170" fontId="0" fillId="0" borderId="0" xfId="0" applyNumberFormat="1"/>
    <xf numFmtId="1" fontId="0" fillId="0" borderId="0" xfId="0" applyNumberFormat="1"/>
    <xf numFmtId="171" fontId="0" fillId="0" borderId="0" xfId="0" applyNumberFormat="1"/>
    <xf numFmtId="171" fontId="0" fillId="3" borderId="0" xfId="0" applyNumberFormat="1" applyFill="1"/>
    <xf numFmtId="170" fontId="0" fillId="3" borderId="0" xfId="0" applyNumberFormat="1" applyFill="1"/>
    <xf numFmtId="0" fontId="5" fillId="0" borderId="0" xfId="0" applyFont="1"/>
    <xf numFmtId="168" fontId="0" fillId="0" borderId="0" xfId="0" applyNumberForma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0" fillId="5" borderId="0" xfId="0" applyFill="1"/>
    <xf numFmtId="168" fontId="0" fillId="0" borderId="9" xfId="0" applyNumberFormat="1" applyBorder="1"/>
    <xf numFmtId="173" fontId="0" fillId="0" borderId="9" xfId="0" applyNumberFormat="1" applyBorder="1"/>
    <xf numFmtId="0" fontId="0" fillId="0" borderId="9" xfId="0" applyBorder="1"/>
    <xf numFmtId="170" fontId="0" fillId="0" borderId="9" xfId="0" applyNumberFormat="1" applyBorder="1"/>
    <xf numFmtId="170" fontId="0" fillId="5" borderId="5" xfId="0" applyNumberFormat="1" applyFill="1" applyBorder="1"/>
    <xf numFmtId="168" fontId="0" fillId="0" borderId="5" xfId="0" applyNumberFormat="1" applyFill="1" applyBorder="1"/>
    <xf numFmtId="171" fontId="0" fillId="0" borderId="0" xfId="0" applyNumberFormat="1" applyFill="1"/>
    <xf numFmtId="170" fontId="0" fillId="0" borderId="0" xfId="0" applyNumberFormat="1" applyFill="1"/>
    <xf numFmtId="0" fontId="0" fillId="0" borderId="0" xfId="0" applyFill="1"/>
    <xf numFmtId="0" fontId="2" fillId="0" borderId="0" xfId="0" applyFont="1"/>
    <xf numFmtId="171" fontId="0" fillId="2" borderId="5" xfId="0" applyNumberFormat="1" applyFill="1" applyBorder="1"/>
    <xf numFmtId="169" fontId="2" fillId="4" borderId="4" xfId="0" applyNumberFormat="1" applyFont="1" applyFill="1" applyBorder="1"/>
    <xf numFmtId="168" fontId="2" fillId="4" borderId="5" xfId="0" applyNumberFormat="1" applyFont="1" applyFill="1" applyBorder="1"/>
    <xf numFmtId="170" fontId="2" fillId="4" borderId="5" xfId="0" applyNumberFormat="1" applyFont="1" applyFill="1" applyBorder="1"/>
    <xf numFmtId="166" fontId="2" fillId="4" borderId="5" xfId="0" applyNumberFormat="1" applyFont="1" applyFill="1" applyBorder="1"/>
    <xf numFmtId="0" fontId="8" fillId="0" borderId="0" xfId="0" applyFont="1"/>
    <xf numFmtId="0" fontId="0" fillId="3" borderId="0" xfId="0" applyFill="1"/>
    <xf numFmtId="0" fontId="0" fillId="6" borderId="0" xfId="0" applyFill="1"/>
    <xf numFmtId="0" fontId="9" fillId="6" borderId="0" xfId="0" applyFont="1" applyFill="1"/>
    <xf numFmtId="169" fontId="0" fillId="0" borderId="4" xfId="0" applyNumberFormat="1" applyFont="1" applyFill="1" applyBorder="1"/>
    <xf numFmtId="168" fontId="0" fillId="0" borderId="5" xfId="0" applyNumberFormat="1" applyFont="1" applyFill="1" applyBorder="1"/>
    <xf numFmtId="170" fontId="0" fillId="2" borderId="5" xfId="0" applyNumberFormat="1" applyFont="1" applyFill="1" applyBorder="1"/>
    <xf numFmtId="166" fontId="0" fillId="2" borderId="5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170" fontId="0" fillId="3" borderId="5" xfId="0" applyNumberFormat="1" applyFont="1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00FF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netto </a:t>
            </a:r>
            <a:r>
              <a:rPr lang="en-US"/>
              <a:t>stoupání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stoupání!$J$5</c:f>
              <c:strCache>
                <c:ptCount val="1"/>
                <c:pt idx="0">
                  <c:v>rychlost</c:v>
                </c:pt>
              </c:strCache>
            </c:strRef>
          </c:tx>
          <c:marker>
            <c:symbol val="none"/>
          </c:marker>
          <c:xVal>
            <c:numRef>
              <c:f>stoupání!$I$6:$I$306</c:f>
              <c:numCache>
                <c:formatCode>0\ "m"</c:formatCode>
                <c:ptCount val="3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xVal>
          <c:yVal>
            <c:numRef>
              <c:f>stoupání!$J$6:$J$306</c:f>
              <c:numCache>
                <c:formatCode>0.00\ "m/s"</c:formatCode>
                <c:ptCount val="301"/>
                <c:pt idx="0">
                  <c:v>5</c:v>
                </c:pt>
                <c:pt idx="1">
                  <c:v>4.9997959183673473</c:v>
                </c:pt>
                <c:pt idx="2">
                  <c:v>4.9991836734693882</c:v>
                </c:pt>
                <c:pt idx="3">
                  <c:v>4.9981632653061228</c:v>
                </c:pt>
                <c:pt idx="4">
                  <c:v>4.996734693877551</c:v>
                </c:pt>
                <c:pt idx="5">
                  <c:v>4.9948979591836737</c:v>
                </c:pt>
                <c:pt idx="6">
                  <c:v>4.9926530612244902</c:v>
                </c:pt>
                <c:pt idx="7">
                  <c:v>4.99</c:v>
                </c:pt>
                <c:pt idx="8">
                  <c:v>4.9869387755102039</c:v>
                </c:pt>
                <c:pt idx="9">
                  <c:v>4.9834693877551022</c:v>
                </c:pt>
                <c:pt idx="10">
                  <c:v>4.9795918367346941</c:v>
                </c:pt>
                <c:pt idx="11">
                  <c:v>4.9753061224489796</c:v>
                </c:pt>
                <c:pt idx="12">
                  <c:v>4.9706122448979588</c:v>
                </c:pt>
                <c:pt idx="13">
                  <c:v>4.9655102040816326</c:v>
                </c:pt>
                <c:pt idx="14">
                  <c:v>4.96</c:v>
                </c:pt>
                <c:pt idx="15">
                  <c:v>4.954081632653061</c:v>
                </c:pt>
                <c:pt idx="16">
                  <c:v>4.9477551020408166</c:v>
                </c:pt>
                <c:pt idx="17">
                  <c:v>4.9410204081632649</c:v>
                </c:pt>
                <c:pt idx="18">
                  <c:v>4.9338775510204078</c:v>
                </c:pt>
                <c:pt idx="19">
                  <c:v>4.9263265306122452</c:v>
                </c:pt>
                <c:pt idx="20">
                  <c:v>4.9183673469387754</c:v>
                </c:pt>
                <c:pt idx="21">
                  <c:v>4.91</c:v>
                </c:pt>
                <c:pt idx="22">
                  <c:v>4.9012244897959185</c:v>
                </c:pt>
                <c:pt idx="23">
                  <c:v>4.8920408163265305</c:v>
                </c:pt>
                <c:pt idx="24">
                  <c:v>4.8824489795918371</c:v>
                </c:pt>
                <c:pt idx="25">
                  <c:v>4.8724489795918364</c:v>
                </c:pt>
                <c:pt idx="26">
                  <c:v>4.8620408163265303</c:v>
                </c:pt>
                <c:pt idx="27">
                  <c:v>4.8512244897959187</c:v>
                </c:pt>
                <c:pt idx="28">
                  <c:v>4.84</c:v>
                </c:pt>
                <c:pt idx="29">
                  <c:v>4.8283673469387756</c:v>
                </c:pt>
                <c:pt idx="30">
                  <c:v>4.8163265306122449</c:v>
                </c:pt>
                <c:pt idx="31">
                  <c:v>4.8038775510204079</c:v>
                </c:pt>
                <c:pt idx="32">
                  <c:v>4.7910204081632655</c:v>
                </c:pt>
                <c:pt idx="33">
                  <c:v>4.7777551020408167</c:v>
                </c:pt>
                <c:pt idx="34">
                  <c:v>4.7640816326530615</c:v>
                </c:pt>
                <c:pt idx="35">
                  <c:v>4.75</c:v>
                </c:pt>
                <c:pt idx="36">
                  <c:v>4.735510204081633</c:v>
                </c:pt>
                <c:pt idx="37">
                  <c:v>4.7206122448979588</c:v>
                </c:pt>
                <c:pt idx="38">
                  <c:v>4.7053061224489792</c:v>
                </c:pt>
                <c:pt idx="39">
                  <c:v>4.689591836734694</c:v>
                </c:pt>
                <c:pt idx="40">
                  <c:v>4.6734693877551017</c:v>
                </c:pt>
                <c:pt idx="41">
                  <c:v>4.6569387755102039</c:v>
                </c:pt>
                <c:pt idx="42">
                  <c:v>4.6399999999999997</c:v>
                </c:pt>
                <c:pt idx="43">
                  <c:v>4.62265306122449</c:v>
                </c:pt>
                <c:pt idx="44">
                  <c:v>4.6048979591836732</c:v>
                </c:pt>
                <c:pt idx="45">
                  <c:v>4.5867346938775508</c:v>
                </c:pt>
                <c:pt idx="46">
                  <c:v>4.5681632653061222</c:v>
                </c:pt>
                <c:pt idx="47">
                  <c:v>4.549183673469388</c:v>
                </c:pt>
                <c:pt idx="48">
                  <c:v>4.5297959183673466</c:v>
                </c:pt>
                <c:pt idx="49">
                  <c:v>4.51</c:v>
                </c:pt>
                <c:pt idx="50">
                  <c:v>4.4897959183673466</c:v>
                </c:pt>
                <c:pt idx="51">
                  <c:v>4.4691836734693879</c:v>
                </c:pt>
                <c:pt idx="52">
                  <c:v>4.448163265306122</c:v>
                </c:pt>
                <c:pt idx="53">
                  <c:v>4.4267346938775507</c:v>
                </c:pt>
                <c:pt idx="54">
                  <c:v>4.404897959183673</c:v>
                </c:pt>
                <c:pt idx="55">
                  <c:v>4.3826530612244898</c:v>
                </c:pt>
                <c:pt idx="56">
                  <c:v>4.3599999999999994</c:v>
                </c:pt>
                <c:pt idx="57">
                  <c:v>4.3369387755102045</c:v>
                </c:pt>
                <c:pt idx="58">
                  <c:v>4.3134693877551022</c:v>
                </c:pt>
                <c:pt idx="59">
                  <c:v>4.2895918367346937</c:v>
                </c:pt>
                <c:pt idx="60">
                  <c:v>4.2653061224489797</c:v>
                </c:pt>
                <c:pt idx="61">
                  <c:v>4.2406122448979593</c:v>
                </c:pt>
                <c:pt idx="62">
                  <c:v>4.2155102040816326</c:v>
                </c:pt>
                <c:pt idx="63">
                  <c:v>4.1899999999999995</c:v>
                </c:pt>
                <c:pt idx="64">
                  <c:v>4.164081632653061</c:v>
                </c:pt>
                <c:pt idx="65">
                  <c:v>4.1377551020408161</c:v>
                </c:pt>
                <c:pt idx="66">
                  <c:v>4.1110204081632649</c:v>
                </c:pt>
                <c:pt idx="67">
                  <c:v>4.0838775510204082</c:v>
                </c:pt>
                <c:pt idx="68">
                  <c:v>4.0563265306122451</c:v>
                </c:pt>
                <c:pt idx="69">
                  <c:v>4.0283673469387757</c:v>
                </c:pt>
                <c:pt idx="70">
                  <c:v>4</c:v>
                </c:pt>
                <c:pt idx="71">
                  <c:v>3.9712244897959188</c:v>
                </c:pt>
                <c:pt idx="72">
                  <c:v>3.9420408163265308</c:v>
                </c:pt>
                <c:pt idx="73">
                  <c:v>3.9124489795918365</c:v>
                </c:pt>
                <c:pt idx="74">
                  <c:v>3.8824489795918367</c:v>
                </c:pt>
                <c:pt idx="75">
                  <c:v>3.8520408163265305</c:v>
                </c:pt>
                <c:pt idx="76">
                  <c:v>3.8212244897959184</c:v>
                </c:pt>
                <c:pt idx="77">
                  <c:v>3.79</c:v>
                </c:pt>
                <c:pt idx="78">
                  <c:v>3.7583673469387753</c:v>
                </c:pt>
                <c:pt idx="79">
                  <c:v>3.7263265306122451</c:v>
                </c:pt>
                <c:pt idx="80">
                  <c:v>3.6938775510204085</c:v>
                </c:pt>
                <c:pt idx="81">
                  <c:v>3.6610204081632651</c:v>
                </c:pt>
                <c:pt idx="82">
                  <c:v>3.6277551020408163</c:v>
                </c:pt>
                <c:pt idx="83">
                  <c:v>3.5940816326530611</c:v>
                </c:pt>
                <c:pt idx="84">
                  <c:v>3.56</c:v>
                </c:pt>
                <c:pt idx="85">
                  <c:v>3.5255102040816331</c:v>
                </c:pt>
                <c:pt idx="86">
                  <c:v>3.4906122448979593</c:v>
                </c:pt>
                <c:pt idx="87">
                  <c:v>3.4553061224489796</c:v>
                </c:pt>
                <c:pt idx="88">
                  <c:v>3.419591836734694</c:v>
                </c:pt>
                <c:pt idx="89">
                  <c:v>3.3834693877551025</c:v>
                </c:pt>
                <c:pt idx="90">
                  <c:v>3.3469387755102038</c:v>
                </c:pt>
                <c:pt idx="91">
                  <c:v>3.3099999999999996</c:v>
                </c:pt>
                <c:pt idx="92">
                  <c:v>3.2726530612244895</c:v>
                </c:pt>
                <c:pt idx="93">
                  <c:v>3.2348979591836735</c:v>
                </c:pt>
                <c:pt idx="94">
                  <c:v>3.1967346938775512</c:v>
                </c:pt>
                <c:pt idx="95">
                  <c:v>3.158163265306122</c:v>
                </c:pt>
                <c:pt idx="96">
                  <c:v>3.1191836734693874</c:v>
                </c:pt>
                <c:pt idx="97">
                  <c:v>3.0797959183673473</c:v>
                </c:pt>
                <c:pt idx="98">
                  <c:v>3.04</c:v>
                </c:pt>
                <c:pt idx="99">
                  <c:v>2.9997959183673468</c:v>
                </c:pt>
                <c:pt idx="100">
                  <c:v>2.9591836734693877</c:v>
                </c:pt>
                <c:pt idx="101">
                  <c:v>2.9079345865542989</c:v>
                </c:pt>
                <c:pt idx="102">
                  <c:v>2.8561472984264697</c:v>
                </c:pt>
                <c:pt idx="103">
                  <c:v>2.8048818851178945</c:v>
                </c:pt>
                <c:pt idx="104">
                  <c:v>2.7541385421877616</c:v>
                </c:pt>
                <c:pt idx="105">
                  <c:v>2.7039172665244373</c:v>
                </c:pt>
                <c:pt idx="106">
                  <c:v>2.6542178637585243</c:v>
                </c:pt>
                <c:pt idx="107">
                  <c:v>2.605039955466427</c:v>
                </c:pt>
                <c:pt idx="108">
                  <c:v>2.5563829861697505</c:v>
                </c:pt>
                <c:pt idx="109">
                  <c:v>2.5082462301359723</c:v>
                </c:pt>
                <c:pt idx="110">
                  <c:v>2.4606287979854335</c:v>
                </c:pt>
                <c:pt idx="111">
                  <c:v>2.4135296431095514</c:v>
                </c:pt>
                <c:pt idx="112">
                  <c:v>2.3669475679050738</c:v>
                </c:pt>
                <c:pt idx="113">
                  <c:v>2.3208812298294377</c:v>
                </c:pt>
                <c:pt idx="114">
                  <c:v>2.2753291472813277</c:v>
                </c:pt>
                <c:pt idx="115">
                  <c:v>2.2302897053112587</c:v>
                </c:pt>
                <c:pt idx="116">
                  <c:v>2.1857611611666869</c:v>
                </c:pt>
                <c:pt idx="117">
                  <c:v>2.1417416496755046</c:v>
                </c:pt>
                <c:pt idx="118">
                  <c:v>2.0982291884725073</c:v>
                </c:pt>
                <c:pt idx="119">
                  <c:v>2.0552216830725416</c:v>
                </c:pt>
                <c:pt idx="120">
                  <c:v>2.0127169317947042</c:v>
                </c:pt>
                <c:pt idx="121">
                  <c:v>1.970712630540947</c:v>
                </c:pt>
                <c:pt idx="122">
                  <c:v>1.9292063774334045</c:v>
                </c:pt>
                <c:pt idx="123">
                  <c:v>1.8881956773135768</c:v>
                </c:pt>
                <c:pt idx="124">
                  <c:v>1.8476779461073778</c:v>
                </c:pt>
                <c:pt idx="125">
                  <c:v>1.807650515059346</c:v>
                </c:pt>
                <c:pt idx="126">
                  <c:v>1.7681106348393731</c:v>
                </c:pt>
                <c:pt idx="127">
                  <c:v>1.7290554795254598</c:v>
                </c:pt>
                <c:pt idx="128">
                  <c:v>1.6904821504654952</c:v>
                </c:pt>
                <c:pt idx="129">
                  <c:v>1.6523876800214197</c:v>
                </c:pt>
                <c:pt idx="130">
                  <c:v>1.6147690351988</c:v>
                </c:pt>
                <c:pt idx="131">
                  <c:v>1.5776231211646501</c:v>
                </c:pt>
                <c:pt idx="132">
                  <c:v>1.5409467846567324</c:v>
                </c:pt>
                <c:pt idx="133">
                  <c:v>1.5047368172869064</c:v>
                </c:pt>
                <c:pt idx="134">
                  <c:v>1.4689899587414206</c:v>
                </c:pt>
                <c:pt idx="135">
                  <c:v>1.4337028998809727</c:v>
                </c:pt>
                <c:pt idx="136">
                  <c:v>1.3988722857429914</c:v>
                </c:pt>
                <c:pt idx="137">
                  <c:v>1.3644947184487612</c:v>
                </c:pt>
                <c:pt idx="138">
                  <c:v>1.3305667600181159</c:v>
                </c:pt>
                <c:pt idx="139">
                  <c:v>1.2970849350938043</c:v>
                </c:pt>
                <c:pt idx="140">
                  <c:v>1.2640457335782906</c:v>
                </c:pt>
                <c:pt idx="141">
                  <c:v>1.2314456131849636</c:v>
                </c:pt>
                <c:pt idx="142">
                  <c:v>1.1992810019063485</c:v>
                </c:pt>
                <c:pt idx="143">
                  <c:v>1.1675483004013509</c:v>
                </c:pt>
                <c:pt idx="144">
                  <c:v>1.1362438843037728</c:v>
                </c:pt>
                <c:pt idx="145">
                  <c:v>1.105364106454179</c:v>
                </c:pt>
                <c:pt idx="146">
                  <c:v>1.074905299057179</c:v>
                </c:pt>
                <c:pt idx="147">
                  <c:v>1.0448637757661277</c:v>
                </c:pt>
                <c:pt idx="148">
                  <c:v>1.0152358336972769</c:v>
                </c:pt>
                <c:pt idx="149">
                  <c:v>0.98601775537517999</c:v>
                </c:pt>
                <c:pt idx="150">
                  <c:v>0.95720581061121557</c:v>
                </c:pt>
                <c:pt idx="151">
                  <c:v>0.92879625831722312</c:v>
                </c:pt>
                <c:pt idx="152">
                  <c:v>0.90078534825573009</c:v>
                </c:pt>
                <c:pt idx="153">
                  <c:v>0.87316932272874648</c:v>
                </c:pt>
                <c:pt idx="154">
                  <c:v>0.8459444182067456</c:v>
                </c:pt>
                <c:pt idx="155">
                  <c:v>0.81910686689934653</c:v>
                </c:pt>
                <c:pt idx="156">
                  <c:v>0.79265289826949092</c:v>
                </c:pt>
                <c:pt idx="157">
                  <c:v>0.76657874049254648</c:v>
                </c:pt>
                <c:pt idx="158">
                  <c:v>0.74088062186193704</c:v>
                </c:pt>
                <c:pt idx="159">
                  <c:v>0.71555477214267504</c:v>
                </c:pt>
                <c:pt idx="160">
                  <c:v>0.69059742387439493</c:v>
                </c:pt>
                <c:pt idx="161">
                  <c:v>0.66600481362515429</c:v>
                </c:pt>
                <c:pt idx="162">
                  <c:v>0.64177318319749699</c:v>
                </c:pt>
                <c:pt idx="163">
                  <c:v>0.61789878078808158</c:v>
                </c:pt>
                <c:pt idx="164">
                  <c:v>0.59437786210202581</c:v>
                </c:pt>
                <c:pt idx="165">
                  <c:v>0.57120669142364433</c:v>
                </c:pt>
                <c:pt idx="166">
                  <c:v>0.54838154264430827</c:v>
                </c:pt>
                <c:pt idx="167">
                  <c:v>0.52589870024903862</c:v>
                </c:pt>
                <c:pt idx="168">
                  <c:v>0.50375446026285675</c:v>
                </c:pt>
                <c:pt idx="169">
                  <c:v>0.48194513115804366</c:v>
                </c:pt>
                <c:pt idx="170">
                  <c:v>0.4604670347234418</c:v>
                </c:pt>
                <c:pt idx="171">
                  <c:v>0.43931650689689833</c:v>
                </c:pt>
                <c:pt idx="172">
                  <c:v>0.41848989856198715</c:v>
                </c:pt>
                <c:pt idx="173">
                  <c:v>0.39798357630985126</c:v>
                </c:pt>
                <c:pt idx="174">
                  <c:v>0.37779392316741917</c:v>
                </c:pt>
                <c:pt idx="175">
                  <c:v>0.35791733929289771</c:v>
                </c:pt>
                <c:pt idx="176">
                  <c:v>0.33835024263930957</c:v>
                </c:pt>
                <c:pt idx="177">
                  <c:v>0.31908906958743399</c:v>
                </c:pt>
                <c:pt idx="178">
                  <c:v>0.30013027554856264</c:v>
                </c:pt>
                <c:pt idx="179">
                  <c:v>0.2814703355384518</c:v>
                </c:pt>
                <c:pt idx="180">
                  <c:v>0.26310574472290787</c:v>
                </c:pt>
                <c:pt idx="181">
                  <c:v>0.24503301893619206</c:v>
                </c:pt>
                <c:pt idx="182">
                  <c:v>0.22724869517281729</c:v>
                </c:pt>
                <c:pt idx="183">
                  <c:v>0.20974933205377475</c:v>
                </c:pt>
                <c:pt idx="184">
                  <c:v>0.19253151026768223</c:v>
                </c:pt>
                <c:pt idx="185">
                  <c:v>0.17559183298797287</c:v>
                </c:pt>
                <c:pt idx="186">
                  <c:v>0.1589269262664974</c:v>
                </c:pt>
                <c:pt idx="187">
                  <c:v>0.14253343940459201</c:v>
                </c:pt>
                <c:pt idx="188">
                  <c:v>0.12640804530204547</c:v>
                </c:pt>
                <c:pt idx="189">
                  <c:v>0.1105474407848558</c:v>
                </c:pt>
                <c:pt idx="190">
                  <c:v>9.4948346912389181E-2</c:v>
                </c:pt>
                <c:pt idx="191">
                  <c:v>7.960750926441236E-2</c:v>
                </c:pt>
                <c:pt idx="192">
                  <c:v>6.4521698209027561E-2</c:v>
                </c:pt>
                <c:pt idx="193">
                  <c:v>4.9687709151655136E-2</c:v>
                </c:pt>
                <c:pt idx="194">
                  <c:v>3.5102362766043171E-2</c:v>
                </c:pt>
                <c:pt idx="195">
                  <c:v>2.076250520771172E-2</c:v>
                </c:pt>
                <c:pt idx="196">
                  <c:v>6.6650083104301504E-3</c:v>
                </c:pt>
                <c:pt idx="197">
                  <c:v>-7.1932302337193062E-3</c:v>
                </c:pt>
                <c:pt idx="198">
                  <c:v>-2.081528671012433E-2</c:v>
                </c:pt>
                <c:pt idx="199">
                  <c:v>-3.4204211232780522E-2</c:v>
                </c:pt>
                <c:pt idx="200">
                  <c:v>-4.7363027610218239E-2</c:v>
                </c:pt>
                <c:pt idx="201">
                  <c:v>-6.0294733225821816E-2</c:v>
                </c:pt>
                <c:pt idx="202">
                  <c:v>-7.3002298931935675E-2</c:v>
                </c:pt>
                <c:pt idx="203">
                  <c:v>-8.5488668957332425E-2</c:v>
                </c:pt>
                <c:pt idx="204">
                  <c:v>-9.7756760827654929E-2</c:v>
                </c:pt>
                <c:pt idx="205">
                  <c:v>-0.10980946529825693</c:v>
                </c:pt>
                <c:pt idx="206">
                  <c:v>-0.12164964629908924</c:v>
                </c:pt>
                <c:pt idx="207">
                  <c:v>-0.13328014089122495</c:v>
                </c:pt>
                <c:pt idx="208">
                  <c:v>-0.14470375923451129</c:v>
                </c:pt>
                <c:pt idx="209">
                  <c:v>-0.15592328456606394</c:v>
                </c:pt>
                <c:pt idx="210">
                  <c:v>-0.16694147318914729</c:v>
                </c:pt>
                <c:pt idx="211">
                  <c:v>-0.17776105447208651</c:v>
                </c:pt>
                <c:pt idx="212">
                  <c:v>-0.18838473085680024</c:v>
                </c:pt>
                <c:pt idx="213">
                  <c:v>-0.19881517787667624</c:v>
                </c:pt>
                <c:pt idx="214">
                  <c:v>-0.20905504418336265</c:v>
                </c:pt>
                <c:pt idx="215">
                  <c:v>-0.21910695158216695</c:v>
                </c:pt>
                <c:pt idx="216">
                  <c:v>-0.22897349507574688</c:v>
                </c:pt>
                <c:pt idx="217">
                  <c:v>-0.2386572429157735</c:v>
                </c:pt>
                <c:pt idx="218">
                  <c:v>-0.24816073666218713</c:v>
                </c:pt>
                <c:pt idx="219">
                  <c:v>-0.25748649124985751</c:v>
                </c:pt>
                <c:pt idx="220">
                  <c:v>-0.26663699506227689</c:v>
                </c:pt>
                <c:pt idx="221">
                  <c:v>-0.27561471001198168</c:v>
                </c:pt>
                <c:pt idx="222">
                  <c:v>-0.28442207162752331</c:v>
                </c:pt>
                <c:pt idx="223">
                  <c:v>-0.29306148914661312</c:v>
                </c:pt>
                <c:pt idx="224">
                  <c:v>-0.30153534561523265</c:v>
                </c:pt>
                <c:pt idx="225">
                  <c:v>-0.30984599799244528</c:v>
                </c:pt>
                <c:pt idx="226">
                  <c:v>-0.3179957772606794</c:v>
                </c:pt>
                <c:pt idx="227">
                  <c:v>-0.325986988541208</c:v>
                </c:pt>
                <c:pt idx="228">
                  <c:v>-0.33382191121459664</c:v>
                </c:pt>
                <c:pt idx="229">
                  <c:v>-0.34150279904596403</c:v>
                </c:pt>
                <c:pt idx="230">
                  <c:v>-0.34903188031469956</c:v>
                </c:pt>
                <c:pt idx="231">
                  <c:v>-0.35641135794858003</c:v>
                </c:pt>
                <c:pt idx="232">
                  <c:v>-0.3636434096619347</c:v>
                </c:pt>
                <c:pt idx="233">
                  <c:v>-0.37073018809778902</c:v>
                </c:pt>
                <c:pt idx="234">
                  <c:v>-0.37767382097368185</c:v>
                </c:pt>
                <c:pt idx="235">
                  <c:v>-0.38447641123106024</c:v>
                </c:pt>
                <c:pt idx="236">
                  <c:v>-0.39114003718796253</c:v>
                </c:pt>
                <c:pt idx="237">
                  <c:v>-0.39766675269494633</c:v>
                </c:pt>
                <c:pt idx="238">
                  <c:v>-0.40405858729395605</c:v>
                </c:pt>
                <c:pt idx="239">
                  <c:v>-0.41031754638006279</c:v>
                </c:pt>
                <c:pt idx="240">
                  <c:v>-0.41644561136586455</c:v>
                </c:pt>
                <c:pt idx="241">
                  <c:v>-0.42244473984837883</c:v>
                </c:pt>
                <c:pt idx="242">
                  <c:v>-0.42831686577835254</c:v>
                </c:pt>
                <c:pt idx="243">
                  <c:v>-0.43406389963172282</c:v>
                </c:pt>
                <c:pt idx="244">
                  <c:v>-0.43968772858321065</c:v>
                </c:pt>
                <c:pt idx="245">
                  <c:v>-0.44519021668181691</c:v>
                </c:pt>
                <c:pt idx="246">
                  <c:v>-0.45057320502811032</c:v>
                </c:pt>
                <c:pt idx="247">
                  <c:v>-0.45583851195323932</c:v>
                </c:pt>
                <c:pt idx="248">
                  <c:v>-0.46098793319943321</c:v>
                </c:pt>
                <c:pt idx="249">
                  <c:v>-0.46602324210197082</c:v>
                </c:pt>
                <c:pt idx="250">
                  <c:v>-0.4709461897724308</c:v>
                </c:pt>
                <c:pt idx="251">
                  <c:v>-0.49979591836734694</c:v>
                </c:pt>
                <c:pt idx="252">
                  <c:v>-0.49918367346938775</c:v>
                </c:pt>
                <c:pt idx="253">
                  <c:v>-0.49816326530612243</c:v>
                </c:pt>
                <c:pt idx="254">
                  <c:v>-0.49673469387755104</c:v>
                </c:pt>
                <c:pt idx="255">
                  <c:v>-0.49489795918367346</c:v>
                </c:pt>
                <c:pt idx="256">
                  <c:v>-0.49265306122448982</c:v>
                </c:pt>
                <c:pt idx="257">
                  <c:v>-0.49</c:v>
                </c:pt>
                <c:pt idx="258">
                  <c:v>-0.48693877551020409</c:v>
                </c:pt>
                <c:pt idx="259">
                  <c:v>-0.48346938775510206</c:v>
                </c:pt>
                <c:pt idx="260">
                  <c:v>-0.47959183673469385</c:v>
                </c:pt>
                <c:pt idx="261">
                  <c:v>-0.47530612244897957</c:v>
                </c:pt>
                <c:pt idx="262">
                  <c:v>-0.47061224489795916</c:v>
                </c:pt>
                <c:pt idx="263">
                  <c:v>-0.46551020408163263</c:v>
                </c:pt>
                <c:pt idx="264">
                  <c:v>-0.45999999999999996</c:v>
                </c:pt>
                <c:pt idx="265">
                  <c:v>-0.45408163265306123</c:v>
                </c:pt>
                <c:pt idx="266">
                  <c:v>-0.44775510204081631</c:v>
                </c:pt>
                <c:pt idx="267">
                  <c:v>-0.44102040816326532</c:v>
                </c:pt>
                <c:pt idx="268">
                  <c:v>-0.43387755102040815</c:v>
                </c:pt>
                <c:pt idx="269">
                  <c:v>-0.4263265306122449</c:v>
                </c:pt>
                <c:pt idx="270">
                  <c:v>-0.41836734693877553</c:v>
                </c:pt>
                <c:pt idx="271">
                  <c:v>-0.41000000000000003</c:v>
                </c:pt>
                <c:pt idx="272">
                  <c:v>-0.4012244897959184</c:v>
                </c:pt>
                <c:pt idx="273">
                  <c:v>-0.39204081632653059</c:v>
                </c:pt>
                <c:pt idx="274">
                  <c:v>-0.38244897959183671</c:v>
                </c:pt>
                <c:pt idx="275">
                  <c:v>-0.37244897959183676</c:v>
                </c:pt>
                <c:pt idx="276">
                  <c:v>-0.37085241999921459</c:v>
                </c:pt>
                <c:pt idx="277">
                  <c:v>-0.36768658139596666</c:v>
                </c:pt>
                <c:pt idx="278">
                  <c:v>-0.36454359803710434</c:v>
                </c:pt>
                <c:pt idx="279">
                  <c:v>-0.36142322359697665</c:v>
                </c:pt>
                <c:pt idx="280">
                  <c:v>-0.35832521527499006</c:v>
                </c:pt>
                <c:pt idx="281">
                  <c:v>-0.35524933373278955</c:v>
                </c:pt>
                <c:pt idx="282">
                  <c:v>-0.35219534303278899</c:v>
                </c:pt>
                <c:pt idx="283">
                  <c:v>-0.34916301057800569</c:v>
                </c:pt>
                <c:pt idx="284">
                  <c:v>-0.34615210705316124</c:v>
                </c:pt>
                <c:pt idx="285">
                  <c:v>-0.34316240636703099</c:v>
                </c:pt>
                <c:pt idx="286">
                  <c:v>-0.34019368559599983</c:v>
                </c:pt>
                <c:pt idx="287">
                  <c:v>-0.33724572492879945</c:v>
                </c:pt>
                <c:pt idx="288">
                  <c:v>-0.33431830761240466</c:v>
                </c:pt>
                <c:pt idx="289">
                  <c:v>-0.33141121989904265</c:v>
                </c:pt>
                <c:pt idx="290">
                  <c:v>-0.32852425099431171</c:v>
                </c:pt>
                <c:pt idx="291">
                  <c:v>-0.32565719300636009</c:v>
                </c:pt>
                <c:pt idx="292">
                  <c:v>-0.32280984089612352</c:v>
                </c:pt>
                <c:pt idx="293">
                  <c:v>-0.3199819924285664</c:v>
                </c:pt>
                <c:pt idx="294">
                  <c:v>-0.31717344812493631</c:v>
                </c:pt>
                <c:pt idx="295">
                  <c:v>-0.31438401121597503</c:v>
                </c:pt>
                <c:pt idx="296">
                  <c:v>-0.31161348759609264</c:v>
                </c:pt>
                <c:pt idx="297">
                  <c:v>-0.30886168577845863</c:v>
                </c:pt>
                <c:pt idx="298">
                  <c:v>-0.30612841685100456</c:v>
                </c:pt>
                <c:pt idx="299">
                  <c:v>-0.3034134944333039</c:v>
                </c:pt>
                <c:pt idx="300">
                  <c:v>-0.30071673463432702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11200"/>
        <c:axId val="117012736"/>
      </c:scatterChart>
      <c:valAx>
        <c:axId val="117011200"/>
        <c:scaling>
          <c:orientation val="minMax"/>
          <c:max val="350"/>
        </c:scaling>
        <c:delete val="0"/>
        <c:axPos val="b"/>
        <c:majorGridlines>
          <c:spPr>
            <a:ln w="12700" cmpd="thickThin"/>
          </c:spPr>
        </c:majorGridlines>
        <c:numFmt formatCode="0\ &quot;m&quot;" sourceLinked="1"/>
        <c:majorTickMark val="out"/>
        <c:minorTickMark val="none"/>
        <c:tickLblPos val="nextTo"/>
        <c:spPr>
          <a:ln w="22225">
            <a:solidFill>
              <a:schemeClr val="tx1"/>
            </a:solidFill>
          </a:ln>
        </c:spPr>
        <c:crossAx val="117012736"/>
        <c:crosses val="autoZero"/>
        <c:crossBetween val="midCat"/>
      </c:valAx>
      <c:valAx>
        <c:axId val="117012736"/>
        <c:scaling>
          <c:orientation val="minMax"/>
        </c:scaling>
        <c:delete val="0"/>
        <c:axPos val="l"/>
        <c:majorGridlines/>
        <c:numFmt formatCode="0.00\ &quot;m/s&quot;" sourceLinked="1"/>
        <c:majorTickMark val="out"/>
        <c:minorTickMark val="none"/>
        <c:tickLblPos val="nextTo"/>
        <c:crossAx val="117011200"/>
        <c:crosses val="autoZero"/>
        <c:crossBetween val="midCat"/>
      </c:valAx>
      <c:spPr>
        <a:effectLst>
          <a:glow rad="127000">
            <a:schemeClr val="tx2">
              <a:lumMod val="60000"/>
              <a:lumOff val="40000"/>
            </a:schemeClr>
          </a:glow>
        </a:effectLst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247649</xdr:colOff>
      <xdr:row>2</xdr:row>
      <xdr:rowOff>14286</xdr:rowOff>
    </xdr:from>
    <xdr:to>
      <xdr:col>21</xdr:col>
      <xdr:colOff>333374</xdr:colOff>
      <xdr:row>21</xdr:row>
      <xdr:rowOff>19049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466725</xdr:colOff>
      <xdr:row>2</xdr:row>
      <xdr:rowOff>28575</xdr:rowOff>
    </xdr:from>
    <xdr:to>
      <xdr:col>18</xdr:col>
      <xdr:colOff>581025</xdr:colOff>
      <xdr:row>24</xdr:row>
      <xdr:rowOff>171450</xdr:rowOff>
    </xdr:to>
    <xdr:sp macro="" textlink="">
      <xdr:nvSpPr>
        <xdr:cNvPr id="2" name="Ovál 1"/>
        <xdr:cNvSpPr/>
      </xdr:nvSpPr>
      <xdr:spPr>
        <a:xfrm>
          <a:off x="7991475" y="447675"/>
          <a:ext cx="4381500" cy="4314825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438150</xdr:colOff>
      <xdr:row>4</xdr:row>
      <xdr:rowOff>171450</xdr:rowOff>
    </xdr:from>
    <xdr:to>
      <xdr:col>18</xdr:col>
      <xdr:colOff>76200</xdr:colOff>
      <xdr:row>22</xdr:row>
      <xdr:rowOff>19050</xdr:rowOff>
    </xdr:to>
    <xdr:sp macro="" textlink="">
      <xdr:nvSpPr>
        <xdr:cNvPr id="4" name="Ovál 3"/>
        <xdr:cNvSpPr/>
      </xdr:nvSpPr>
      <xdr:spPr>
        <a:xfrm>
          <a:off x="8572500" y="971550"/>
          <a:ext cx="3295650" cy="325755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228600</xdr:colOff>
      <xdr:row>7</xdr:row>
      <xdr:rowOff>142875</xdr:rowOff>
    </xdr:from>
    <xdr:to>
      <xdr:col>17</xdr:col>
      <xdr:colOff>295275</xdr:colOff>
      <xdr:row>19</xdr:row>
      <xdr:rowOff>76200</xdr:rowOff>
    </xdr:to>
    <xdr:sp macro="" textlink="">
      <xdr:nvSpPr>
        <xdr:cNvPr id="5" name="Ovál 4"/>
        <xdr:cNvSpPr/>
      </xdr:nvSpPr>
      <xdr:spPr>
        <a:xfrm>
          <a:off x="8972550" y="1457325"/>
          <a:ext cx="2505075" cy="2257425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15</xdr:col>
      <xdr:colOff>228600</xdr:colOff>
      <xdr:row>11</xdr:row>
      <xdr:rowOff>123825</xdr:rowOff>
    </xdr:from>
    <xdr:to>
      <xdr:col>17</xdr:col>
      <xdr:colOff>190500</xdr:colOff>
      <xdr:row>13</xdr:row>
      <xdr:rowOff>28575</xdr:rowOff>
    </xdr:to>
    <xdr:cxnSp macro="">
      <xdr:nvCxnSpPr>
        <xdr:cNvPr id="11" name="Přímá spojnice se šipkou 10"/>
        <xdr:cNvCxnSpPr/>
      </xdr:nvCxnSpPr>
      <xdr:spPr>
        <a:xfrm flipV="1">
          <a:off x="10191750" y="2200275"/>
          <a:ext cx="1181100" cy="323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247650</xdr:colOff>
      <xdr:row>13</xdr:row>
      <xdr:rowOff>38100</xdr:rowOff>
    </xdr:from>
    <xdr:to>
      <xdr:col>18</xdr:col>
      <xdr:colOff>19050</xdr:colOff>
      <xdr:row>16</xdr:row>
      <xdr:rowOff>47625</xdr:rowOff>
    </xdr:to>
    <xdr:cxnSp macro="">
      <xdr:nvCxnSpPr>
        <xdr:cNvPr id="14" name="Přímá spojnice se šipkou 13"/>
        <xdr:cNvCxnSpPr/>
      </xdr:nvCxnSpPr>
      <xdr:spPr>
        <a:xfrm>
          <a:off x="10210800" y="2533650"/>
          <a:ext cx="1600200" cy="5810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219075</xdr:colOff>
      <xdr:row>13</xdr:row>
      <xdr:rowOff>28575</xdr:rowOff>
    </xdr:from>
    <xdr:to>
      <xdr:col>18</xdr:col>
      <xdr:colOff>114300</xdr:colOff>
      <xdr:row>20</xdr:row>
      <xdr:rowOff>161925</xdr:rowOff>
    </xdr:to>
    <xdr:cxnSp macro="">
      <xdr:nvCxnSpPr>
        <xdr:cNvPr id="18" name="Přímá spojnice se šipkou 17"/>
        <xdr:cNvCxnSpPr/>
      </xdr:nvCxnSpPr>
      <xdr:spPr>
        <a:xfrm>
          <a:off x="10182225" y="2524125"/>
          <a:ext cx="1724025" cy="1466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523875</xdr:colOff>
      <xdr:row>10</xdr:row>
      <xdr:rowOff>171450</xdr:rowOff>
    </xdr:from>
    <xdr:to>
      <xdr:col>16</xdr:col>
      <xdr:colOff>581026</xdr:colOff>
      <xdr:row>12</xdr:row>
      <xdr:rowOff>104775</xdr:rowOff>
    </xdr:to>
    <xdr:sp macro="" textlink="">
      <xdr:nvSpPr>
        <xdr:cNvPr id="21" name="TextovéPole 20"/>
        <xdr:cNvSpPr txBox="1"/>
      </xdr:nvSpPr>
      <xdr:spPr>
        <a:xfrm>
          <a:off x="10487025" y="2057400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90m</a:t>
          </a:r>
        </a:p>
      </xdr:txBody>
    </xdr:sp>
    <xdr:clientData/>
  </xdr:twoCellAnchor>
  <xdr:twoCellAnchor>
    <xdr:from>
      <xdr:col>17</xdr:col>
      <xdr:colOff>180975</xdr:colOff>
      <xdr:row>14</xdr:row>
      <xdr:rowOff>9525</xdr:rowOff>
    </xdr:from>
    <xdr:to>
      <xdr:col>18</xdr:col>
      <xdr:colOff>238126</xdr:colOff>
      <xdr:row>15</xdr:row>
      <xdr:rowOff>133350</xdr:rowOff>
    </xdr:to>
    <xdr:sp macro="" textlink="">
      <xdr:nvSpPr>
        <xdr:cNvPr id="22" name="TextovéPole 21"/>
        <xdr:cNvSpPr txBox="1"/>
      </xdr:nvSpPr>
      <xdr:spPr>
        <a:xfrm>
          <a:off x="11363325" y="2695575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120m</a:t>
          </a:r>
        </a:p>
      </xdr:txBody>
    </xdr:sp>
    <xdr:clientData/>
  </xdr:twoCellAnchor>
  <xdr:twoCellAnchor>
    <xdr:from>
      <xdr:col>17</xdr:col>
      <xdr:colOff>438150</xdr:colOff>
      <xdr:row>18</xdr:row>
      <xdr:rowOff>66675</xdr:rowOff>
    </xdr:from>
    <xdr:to>
      <xdr:col>18</xdr:col>
      <xdr:colOff>495301</xdr:colOff>
      <xdr:row>20</xdr:row>
      <xdr:rowOff>0</xdr:rowOff>
    </xdr:to>
    <xdr:sp macro="" textlink="">
      <xdr:nvSpPr>
        <xdr:cNvPr id="23" name="TextovéPole 22"/>
        <xdr:cNvSpPr txBox="1"/>
      </xdr:nvSpPr>
      <xdr:spPr>
        <a:xfrm>
          <a:off x="11620500" y="3514725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160m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466725</xdr:colOff>
      <xdr:row>2</xdr:row>
      <xdr:rowOff>28575</xdr:rowOff>
    </xdr:from>
    <xdr:to>
      <xdr:col>18</xdr:col>
      <xdr:colOff>581025</xdr:colOff>
      <xdr:row>24</xdr:row>
      <xdr:rowOff>171450</xdr:rowOff>
    </xdr:to>
    <xdr:sp macro="" textlink="">
      <xdr:nvSpPr>
        <xdr:cNvPr id="2" name="Ovál 1"/>
        <xdr:cNvSpPr/>
      </xdr:nvSpPr>
      <xdr:spPr>
        <a:xfrm>
          <a:off x="8429625" y="590550"/>
          <a:ext cx="4381500" cy="4314825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438150</xdr:colOff>
      <xdr:row>4</xdr:row>
      <xdr:rowOff>171450</xdr:rowOff>
    </xdr:from>
    <xdr:to>
      <xdr:col>18</xdr:col>
      <xdr:colOff>76200</xdr:colOff>
      <xdr:row>22</xdr:row>
      <xdr:rowOff>19050</xdr:rowOff>
    </xdr:to>
    <xdr:sp macro="" textlink="">
      <xdr:nvSpPr>
        <xdr:cNvPr id="3" name="Ovál 2"/>
        <xdr:cNvSpPr/>
      </xdr:nvSpPr>
      <xdr:spPr>
        <a:xfrm>
          <a:off x="9010650" y="1114425"/>
          <a:ext cx="3295650" cy="325755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228600</xdr:colOff>
      <xdr:row>7</xdr:row>
      <xdr:rowOff>142875</xdr:rowOff>
    </xdr:from>
    <xdr:to>
      <xdr:col>17</xdr:col>
      <xdr:colOff>295275</xdr:colOff>
      <xdr:row>19</xdr:row>
      <xdr:rowOff>76200</xdr:rowOff>
    </xdr:to>
    <xdr:sp macro="" textlink="">
      <xdr:nvSpPr>
        <xdr:cNvPr id="4" name="Ovál 3"/>
        <xdr:cNvSpPr/>
      </xdr:nvSpPr>
      <xdr:spPr>
        <a:xfrm>
          <a:off x="9410700" y="1600200"/>
          <a:ext cx="2505075" cy="2257425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15</xdr:col>
      <xdr:colOff>228600</xdr:colOff>
      <xdr:row>11</xdr:row>
      <xdr:rowOff>123825</xdr:rowOff>
    </xdr:from>
    <xdr:to>
      <xdr:col>17</xdr:col>
      <xdr:colOff>190500</xdr:colOff>
      <xdr:row>13</xdr:row>
      <xdr:rowOff>28575</xdr:rowOff>
    </xdr:to>
    <xdr:cxnSp macro="">
      <xdr:nvCxnSpPr>
        <xdr:cNvPr id="5" name="Přímá spojnice se šipkou 4"/>
        <xdr:cNvCxnSpPr/>
      </xdr:nvCxnSpPr>
      <xdr:spPr>
        <a:xfrm flipV="1">
          <a:off x="10629900" y="2343150"/>
          <a:ext cx="1181100" cy="323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247650</xdr:colOff>
      <xdr:row>13</xdr:row>
      <xdr:rowOff>38100</xdr:rowOff>
    </xdr:from>
    <xdr:to>
      <xdr:col>18</xdr:col>
      <xdr:colOff>19050</xdr:colOff>
      <xdr:row>16</xdr:row>
      <xdr:rowOff>47625</xdr:rowOff>
    </xdr:to>
    <xdr:cxnSp macro="">
      <xdr:nvCxnSpPr>
        <xdr:cNvPr id="6" name="Přímá spojnice se šipkou 5"/>
        <xdr:cNvCxnSpPr/>
      </xdr:nvCxnSpPr>
      <xdr:spPr>
        <a:xfrm>
          <a:off x="10648950" y="2676525"/>
          <a:ext cx="1600200" cy="5810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219075</xdr:colOff>
      <xdr:row>13</xdr:row>
      <xdr:rowOff>28575</xdr:rowOff>
    </xdr:from>
    <xdr:to>
      <xdr:col>18</xdr:col>
      <xdr:colOff>114300</xdr:colOff>
      <xdr:row>20</xdr:row>
      <xdr:rowOff>161925</xdr:rowOff>
    </xdr:to>
    <xdr:cxnSp macro="">
      <xdr:nvCxnSpPr>
        <xdr:cNvPr id="7" name="Přímá spojnice se šipkou 6"/>
        <xdr:cNvCxnSpPr/>
      </xdr:nvCxnSpPr>
      <xdr:spPr>
        <a:xfrm>
          <a:off x="10620375" y="2667000"/>
          <a:ext cx="1724025" cy="1466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523875</xdr:colOff>
      <xdr:row>10</xdr:row>
      <xdr:rowOff>171450</xdr:rowOff>
    </xdr:from>
    <xdr:to>
      <xdr:col>16</xdr:col>
      <xdr:colOff>581026</xdr:colOff>
      <xdr:row>12</xdr:row>
      <xdr:rowOff>104775</xdr:rowOff>
    </xdr:to>
    <xdr:sp macro="" textlink="">
      <xdr:nvSpPr>
        <xdr:cNvPr id="8" name="TextovéPole 7"/>
        <xdr:cNvSpPr txBox="1"/>
      </xdr:nvSpPr>
      <xdr:spPr>
        <a:xfrm>
          <a:off x="10925175" y="2200275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90m</a:t>
          </a:r>
        </a:p>
      </xdr:txBody>
    </xdr:sp>
    <xdr:clientData/>
  </xdr:twoCellAnchor>
  <xdr:twoCellAnchor>
    <xdr:from>
      <xdr:col>17</xdr:col>
      <xdr:colOff>180975</xdr:colOff>
      <xdr:row>14</xdr:row>
      <xdr:rowOff>9525</xdr:rowOff>
    </xdr:from>
    <xdr:to>
      <xdr:col>18</xdr:col>
      <xdr:colOff>238126</xdr:colOff>
      <xdr:row>15</xdr:row>
      <xdr:rowOff>133350</xdr:rowOff>
    </xdr:to>
    <xdr:sp macro="" textlink="">
      <xdr:nvSpPr>
        <xdr:cNvPr id="9" name="TextovéPole 8"/>
        <xdr:cNvSpPr txBox="1"/>
      </xdr:nvSpPr>
      <xdr:spPr>
        <a:xfrm>
          <a:off x="11801475" y="2838450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120m</a:t>
          </a:r>
        </a:p>
      </xdr:txBody>
    </xdr:sp>
    <xdr:clientData/>
  </xdr:twoCellAnchor>
  <xdr:twoCellAnchor>
    <xdr:from>
      <xdr:col>17</xdr:col>
      <xdr:colOff>438150</xdr:colOff>
      <xdr:row>18</xdr:row>
      <xdr:rowOff>66675</xdr:rowOff>
    </xdr:from>
    <xdr:to>
      <xdr:col>18</xdr:col>
      <xdr:colOff>495301</xdr:colOff>
      <xdr:row>20</xdr:row>
      <xdr:rowOff>0</xdr:rowOff>
    </xdr:to>
    <xdr:sp macro="" textlink="">
      <xdr:nvSpPr>
        <xdr:cNvPr id="10" name="TextovéPole 9"/>
        <xdr:cNvSpPr txBox="1"/>
      </xdr:nvSpPr>
      <xdr:spPr>
        <a:xfrm>
          <a:off x="12058650" y="3657600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160m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466725</xdr:colOff>
      <xdr:row>2</xdr:row>
      <xdr:rowOff>28575</xdr:rowOff>
    </xdr:from>
    <xdr:to>
      <xdr:col>18</xdr:col>
      <xdr:colOff>581025</xdr:colOff>
      <xdr:row>24</xdr:row>
      <xdr:rowOff>171450</xdr:rowOff>
    </xdr:to>
    <xdr:sp macro="" textlink="">
      <xdr:nvSpPr>
        <xdr:cNvPr id="2" name="Ovál 1"/>
        <xdr:cNvSpPr/>
      </xdr:nvSpPr>
      <xdr:spPr>
        <a:xfrm>
          <a:off x="8429625" y="590550"/>
          <a:ext cx="4381500" cy="4314825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438150</xdr:colOff>
      <xdr:row>4</xdr:row>
      <xdr:rowOff>171450</xdr:rowOff>
    </xdr:from>
    <xdr:to>
      <xdr:col>18</xdr:col>
      <xdr:colOff>76200</xdr:colOff>
      <xdr:row>22</xdr:row>
      <xdr:rowOff>19050</xdr:rowOff>
    </xdr:to>
    <xdr:sp macro="" textlink="">
      <xdr:nvSpPr>
        <xdr:cNvPr id="3" name="Ovál 2"/>
        <xdr:cNvSpPr/>
      </xdr:nvSpPr>
      <xdr:spPr>
        <a:xfrm>
          <a:off x="9010650" y="1114425"/>
          <a:ext cx="3295650" cy="325755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228600</xdr:colOff>
      <xdr:row>7</xdr:row>
      <xdr:rowOff>142875</xdr:rowOff>
    </xdr:from>
    <xdr:to>
      <xdr:col>17</xdr:col>
      <xdr:colOff>295275</xdr:colOff>
      <xdr:row>19</xdr:row>
      <xdr:rowOff>76200</xdr:rowOff>
    </xdr:to>
    <xdr:sp macro="" textlink="">
      <xdr:nvSpPr>
        <xdr:cNvPr id="4" name="Ovál 3"/>
        <xdr:cNvSpPr/>
      </xdr:nvSpPr>
      <xdr:spPr>
        <a:xfrm>
          <a:off x="9410700" y="1600200"/>
          <a:ext cx="2505075" cy="2257425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15</xdr:col>
      <xdr:colOff>228600</xdr:colOff>
      <xdr:row>11</xdr:row>
      <xdr:rowOff>123825</xdr:rowOff>
    </xdr:from>
    <xdr:to>
      <xdr:col>17</xdr:col>
      <xdr:colOff>190500</xdr:colOff>
      <xdr:row>13</xdr:row>
      <xdr:rowOff>28575</xdr:rowOff>
    </xdr:to>
    <xdr:cxnSp macro="">
      <xdr:nvCxnSpPr>
        <xdr:cNvPr id="5" name="Přímá spojnice se šipkou 4"/>
        <xdr:cNvCxnSpPr/>
      </xdr:nvCxnSpPr>
      <xdr:spPr>
        <a:xfrm flipV="1">
          <a:off x="10629900" y="2343150"/>
          <a:ext cx="1181100" cy="323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247650</xdr:colOff>
      <xdr:row>13</xdr:row>
      <xdr:rowOff>38100</xdr:rowOff>
    </xdr:from>
    <xdr:to>
      <xdr:col>18</xdr:col>
      <xdr:colOff>19050</xdr:colOff>
      <xdr:row>16</xdr:row>
      <xdr:rowOff>47625</xdr:rowOff>
    </xdr:to>
    <xdr:cxnSp macro="">
      <xdr:nvCxnSpPr>
        <xdr:cNvPr id="6" name="Přímá spojnice se šipkou 5"/>
        <xdr:cNvCxnSpPr/>
      </xdr:nvCxnSpPr>
      <xdr:spPr>
        <a:xfrm>
          <a:off x="10648950" y="2676525"/>
          <a:ext cx="1600200" cy="5810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219075</xdr:colOff>
      <xdr:row>13</xdr:row>
      <xdr:rowOff>28575</xdr:rowOff>
    </xdr:from>
    <xdr:to>
      <xdr:col>18</xdr:col>
      <xdr:colOff>114300</xdr:colOff>
      <xdr:row>20</xdr:row>
      <xdr:rowOff>161925</xdr:rowOff>
    </xdr:to>
    <xdr:cxnSp macro="">
      <xdr:nvCxnSpPr>
        <xdr:cNvPr id="7" name="Přímá spojnice se šipkou 6"/>
        <xdr:cNvCxnSpPr/>
      </xdr:nvCxnSpPr>
      <xdr:spPr>
        <a:xfrm>
          <a:off x="10620375" y="2667000"/>
          <a:ext cx="1724025" cy="1466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523875</xdr:colOff>
      <xdr:row>10</xdr:row>
      <xdr:rowOff>171450</xdr:rowOff>
    </xdr:from>
    <xdr:to>
      <xdr:col>16</xdr:col>
      <xdr:colOff>581026</xdr:colOff>
      <xdr:row>12</xdr:row>
      <xdr:rowOff>104775</xdr:rowOff>
    </xdr:to>
    <xdr:sp macro="" textlink="">
      <xdr:nvSpPr>
        <xdr:cNvPr id="8" name="TextovéPole 7"/>
        <xdr:cNvSpPr txBox="1"/>
      </xdr:nvSpPr>
      <xdr:spPr>
        <a:xfrm>
          <a:off x="10925175" y="2200275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90m</a:t>
          </a:r>
        </a:p>
      </xdr:txBody>
    </xdr:sp>
    <xdr:clientData/>
  </xdr:twoCellAnchor>
  <xdr:twoCellAnchor>
    <xdr:from>
      <xdr:col>17</xdr:col>
      <xdr:colOff>180975</xdr:colOff>
      <xdr:row>14</xdr:row>
      <xdr:rowOff>9525</xdr:rowOff>
    </xdr:from>
    <xdr:to>
      <xdr:col>18</xdr:col>
      <xdr:colOff>238126</xdr:colOff>
      <xdr:row>15</xdr:row>
      <xdr:rowOff>133350</xdr:rowOff>
    </xdr:to>
    <xdr:sp macro="" textlink="">
      <xdr:nvSpPr>
        <xdr:cNvPr id="9" name="TextovéPole 8"/>
        <xdr:cNvSpPr txBox="1"/>
      </xdr:nvSpPr>
      <xdr:spPr>
        <a:xfrm>
          <a:off x="11801475" y="2838450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120m</a:t>
          </a:r>
        </a:p>
      </xdr:txBody>
    </xdr:sp>
    <xdr:clientData/>
  </xdr:twoCellAnchor>
  <xdr:twoCellAnchor>
    <xdr:from>
      <xdr:col>17</xdr:col>
      <xdr:colOff>438150</xdr:colOff>
      <xdr:row>18</xdr:row>
      <xdr:rowOff>66675</xdr:rowOff>
    </xdr:from>
    <xdr:to>
      <xdr:col>18</xdr:col>
      <xdr:colOff>495301</xdr:colOff>
      <xdr:row>20</xdr:row>
      <xdr:rowOff>0</xdr:rowOff>
    </xdr:to>
    <xdr:sp macro="" textlink="">
      <xdr:nvSpPr>
        <xdr:cNvPr id="10" name="TextovéPole 9"/>
        <xdr:cNvSpPr txBox="1"/>
      </xdr:nvSpPr>
      <xdr:spPr>
        <a:xfrm>
          <a:off x="12058650" y="3657600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160m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466725</xdr:colOff>
      <xdr:row>2</xdr:row>
      <xdr:rowOff>28575</xdr:rowOff>
    </xdr:from>
    <xdr:to>
      <xdr:col>18</xdr:col>
      <xdr:colOff>581025</xdr:colOff>
      <xdr:row>24</xdr:row>
      <xdr:rowOff>171450</xdr:rowOff>
    </xdr:to>
    <xdr:sp macro="" textlink="">
      <xdr:nvSpPr>
        <xdr:cNvPr id="2" name="Ovál 1"/>
        <xdr:cNvSpPr/>
      </xdr:nvSpPr>
      <xdr:spPr>
        <a:xfrm>
          <a:off x="7991475" y="447675"/>
          <a:ext cx="4381500" cy="4314825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438150</xdr:colOff>
      <xdr:row>4</xdr:row>
      <xdr:rowOff>171450</xdr:rowOff>
    </xdr:from>
    <xdr:to>
      <xdr:col>18</xdr:col>
      <xdr:colOff>76200</xdr:colOff>
      <xdr:row>22</xdr:row>
      <xdr:rowOff>19050</xdr:rowOff>
    </xdr:to>
    <xdr:sp macro="" textlink="">
      <xdr:nvSpPr>
        <xdr:cNvPr id="3" name="Ovál 2"/>
        <xdr:cNvSpPr/>
      </xdr:nvSpPr>
      <xdr:spPr>
        <a:xfrm>
          <a:off x="8572500" y="971550"/>
          <a:ext cx="3295650" cy="325755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228600</xdr:colOff>
      <xdr:row>7</xdr:row>
      <xdr:rowOff>142875</xdr:rowOff>
    </xdr:from>
    <xdr:to>
      <xdr:col>17</xdr:col>
      <xdr:colOff>295275</xdr:colOff>
      <xdr:row>19</xdr:row>
      <xdr:rowOff>76200</xdr:rowOff>
    </xdr:to>
    <xdr:sp macro="" textlink="">
      <xdr:nvSpPr>
        <xdr:cNvPr id="4" name="Ovál 3"/>
        <xdr:cNvSpPr/>
      </xdr:nvSpPr>
      <xdr:spPr>
        <a:xfrm>
          <a:off x="8972550" y="1457325"/>
          <a:ext cx="2505075" cy="2257425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15</xdr:col>
      <xdr:colOff>228600</xdr:colOff>
      <xdr:row>11</xdr:row>
      <xdr:rowOff>123825</xdr:rowOff>
    </xdr:from>
    <xdr:to>
      <xdr:col>17</xdr:col>
      <xdr:colOff>190500</xdr:colOff>
      <xdr:row>13</xdr:row>
      <xdr:rowOff>28575</xdr:rowOff>
    </xdr:to>
    <xdr:cxnSp macro="">
      <xdr:nvCxnSpPr>
        <xdr:cNvPr id="5" name="Přímá spojnice se šipkou 4"/>
        <xdr:cNvCxnSpPr/>
      </xdr:nvCxnSpPr>
      <xdr:spPr>
        <a:xfrm flipV="1">
          <a:off x="10191750" y="2200275"/>
          <a:ext cx="1181100" cy="323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247650</xdr:colOff>
      <xdr:row>13</xdr:row>
      <xdr:rowOff>38100</xdr:rowOff>
    </xdr:from>
    <xdr:to>
      <xdr:col>18</xdr:col>
      <xdr:colOff>19050</xdr:colOff>
      <xdr:row>16</xdr:row>
      <xdr:rowOff>47625</xdr:rowOff>
    </xdr:to>
    <xdr:cxnSp macro="">
      <xdr:nvCxnSpPr>
        <xdr:cNvPr id="6" name="Přímá spojnice se šipkou 5"/>
        <xdr:cNvCxnSpPr/>
      </xdr:nvCxnSpPr>
      <xdr:spPr>
        <a:xfrm>
          <a:off x="10210800" y="2533650"/>
          <a:ext cx="1600200" cy="5810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219075</xdr:colOff>
      <xdr:row>13</xdr:row>
      <xdr:rowOff>28575</xdr:rowOff>
    </xdr:from>
    <xdr:to>
      <xdr:col>18</xdr:col>
      <xdr:colOff>114300</xdr:colOff>
      <xdr:row>20</xdr:row>
      <xdr:rowOff>161925</xdr:rowOff>
    </xdr:to>
    <xdr:cxnSp macro="">
      <xdr:nvCxnSpPr>
        <xdr:cNvPr id="7" name="Přímá spojnice se šipkou 6"/>
        <xdr:cNvCxnSpPr/>
      </xdr:nvCxnSpPr>
      <xdr:spPr>
        <a:xfrm>
          <a:off x="10182225" y="2524125"/>
          <a:ext cx="1724025" cy="1466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523875</xdr:colOff>
      <xdr:row>10</xdr:row>
      <xdr:rowOff>171450</xdr:rowOff>
    </xdr:from>
    <xdr:to>
      <xdr:col>16</xdr:col>
      <xdr:colOff>581026</xdr:colOff>
      <xdr:row>12</xdr:row>
      <xdr:rowOff>104775</xdr:rowOff>
    </xdr:to>
    <xdr:sp macro="" textlink="">
      <xdr:nvSpPr>
        <xdr:cNvPr id="8" name="TextovéPole 7"/>
        <xdr:cNvSpPr txBox="1"/>
      </xdr:nvSpPr>
      <xdr:spPr>
        <a:xfrm>
          <a:off x="10487025" y="2057400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90m</a:t>
          </a:r>
        </a:p>
      </xdr:txBody>
    </xdr:sp>
    <xdr:clientData/>
  </xdr:twoCellAnchor>
  <xdr:twoCellAnchor>
    <xdr:from>
      <xdr:col>17</xdr:col>
      <xdr:colOff>180975</xdr:colOff>
      <xdr:row>14</xdr:row>
      <xdr:rowOff>9525</xdr:rowOff>
    </xdr:from>
    <xdr:to>
      <xdr:col>18</xdr:col>
      <xdr:colOff>238126</xdr:colOff>
      <xdr:row>15</xdr:row>
      <xdr:rowOff>133350</xdr:rowOff>
    </xdr:to>
    <xdr:sp macro="" textlink="">
      <xdr:nvSpPr>
        <xdr:cNvPr id="9" name="TextovéPole 8"/>
        <xdr:cNvSpPr txBox="1"/>
      </xdr:nvSpPr>
      <xdr:spPr>
        <a:xfrm>
          <a:off x="11363325" y="2695575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120m</a:t>
          </a:r>
        </a:p>
      </xdr:txBody>
    </xdr:sp>
    <xdr:clientData/>
  </xdr:twoCellAnchor>
  <xdr:twoCellAnchor>
    <xdr:from>
      <xdr:col>17</xdr:col>
      <xdr:colOff>438150</xdr:colOff>
      <xdr:row>18</xdr:row>
      <xdr:rowOff>66675</xdr:rowOff>
    </xdr:from>
    <xdr:to>
      <xdr:col>18</xdr:col>
      <xdr:colOff>495301</xdr:colOff>
      <xdr:row>20</xdr:row>
      <xdr:rowOff>0</xdr:rowOff>
    </xdr:to>
    <xdr:sp macro="" textlink="">
      <xdr:nvSpPr>
        <xdr:cNvPr id="10" name="TextovéPole 9"/>
        <xdr:cNvSpPr txBox="1"/>
      </xdr:nvSpPr>
      <xdr:spPr>
        <a:xfrm>
          <a:off x="11620500" y="3514725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160m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466725</xdr:colOff>
      <xdr:row>2</xdr:row>
      <xdr:rowOff>28575</xdr:rowOff>
    </xdr:from>
    <xdr:to>
      <xdr:col>18</xdr:col>
      <xdr:colOff>581025</xdr:colOff>
      <xdr:row>24</xdr:row>
      <xdr:rowOff>171450</xdr:rowOff>
    </xdr:to>
    <xdr:sp macro="" textlink="">
      <xdr:nvSpPr>
        <xdr:cNvPr id="2" name="Ovál 1"/>
        <xdr:cNvSpPr/>
      </xdr:nvSpPr>
      <xdr:spPr>
        <a:xfrm>
          <a:off x="7991475" y="447675"/>
          <a:ext cx="4381500" cy="4314825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438150</xdr:colOff>
      <xdr:row>4</xdr:row>
      <xdr:rowOff>171450</xdr:rowOff>
    </xdr:from>
    <xdr:to>
      <xdr:col>18</xdr:col>
      <xdr:colOff>76200</xdr:colOff>
      <xdr:row>22</xdr:row>
      <xdr:rowOff>19050</xdr:rowOff>
    </xdr:to>
    <xdr:sp macro="" textlink="">
      <xdr:nvSpPr>
        <xdr:cNvPr id="3" name="Ovál 2"/>
        <xdr:cNvSpPr/>
      </xdr:nvSpPr>
      <xdr:spPr>
        <a:xfrm>
          <a:off x="8572500" y="971550"/>
          <a:ext cx="3295650" cy="325755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228600</xdr:colOff>
      <xdr:row>7</xdr:row>
      <xdr:rowOff>142875</xdr:rowOff>
    </xdr:from>
    <xdr:to>
      <xdr:col>17</xdr:col>
      <xdr:colOff>295275</xdr:colOff>
      <xdr:row>19</xdr:row>
      <xdr:rowOff>76200</xdr:rowOff>
    </xdr:to>
    <xdr:sp macro="" textlink="">
      <xdr:nvSpPr>
        <xdr:cNvPr id="4" name="Ovál 3"/>
        <xdr:cNvSpPr/>
      </xdr:nvSpPr>
      <xdr:spPr>
        <a:xfrm>
          <a:off x="8972550" y="1457325"/>
          <a:ext cx="2505075" cy="2257425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15</xdr:col>
      <xdr:colOff>228600</xdr:colOff>
      <xdr:row>11</xdr:row>
      <xdr:rowOff>123825</xdr:rowOff>
    </xdr:from>
    <xdr:to>
      <xdr:col>17</xdr:col>
      <xdr:colOff>190500</xdr:colOff>
      <xdr:row>13</xdr:row>
      <xdr:rowOff>28575</xdr:rowOff>
    </xdr:to>
    <xdr:cxnSp macro="">
      <xdr:nvCxnSpPr>
        <xdr:cNvPr id="5" name="Přímá spojnice se šipkou 4"/>
        <xdr:cNvCxnSpPr/>
      </xdr:nvCxnSpPr>
      <xdr:spPr>
        <a:xfrm flipV="1">
          <a:off x="10191750" y="2200275"/>
          <a:ext cx="1181100" cy="323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247650</xdr:colOff>
      <xdr:row>13</xdr:row>
      <xdr:rowOff>38100</xdr:rowOff>
    </xdr:from>
    <xdr:to>
      <xdr:col>18</xdr:col>
      <xdr:colOff>19050</xdr:colOff>
      <xdr:row>16</xdr:row>
      <xdr:rowOff>47625</xdr:rowOff>
    </xdr:to>
    <xdr:cxnSp macro="">
      <xdr:nvCxnSpPr>
        <xdr:cNvPr id="6" name="Přímá spojnice se šipkou 5"/>
        <xdr:cNvCxnSpPr/>
      </xdr:nvCxnSpPr>
      <xdr:spPr>
        <a:xfrm>
          <a:off x="10210800" y="2533650"/>
          <a:ext cx="1600200" cy="5810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219075</xdr:colOff>
      <xdr:row>13</xdr:row>
      <xdr:rowOff>28575</xdr:rowOff>
    </xdr:from>
    <xdr:to>
      <xdr:col>18</xdr:col>
      <xdr:colOff>114300</xdr:colOff>
      <xdr:row>20</xdr:row>
      <xdr:rowOff>161925</xdr:rowOff>
    </xdr:to>
    <xdr:cxnSp macro="">
      <xdr:nvCxnSpPr>
        <xdr:cNvPr id="7" name="Přímá spojnice se šipkou 6"/>
        <xdr:cNvCxnSpPr/>
      </xdr:nvCxnSpPr>
      <xdr:spPr>
        <a:xfrm>
          <a:off x="10182225" y="2524125"/>
          <a:ext cx="1724025" cy="1466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523875</xdr:colOff>
      <xdr:row>10</xdr:row>
      <xdr:rowOff>171450</xdr:rowOff>
    </xdr:from>
    <xdr:to>
      <xdr:col>16</xdr:col>
      <xdr:colOff>581026</xdr:colOff>
      <xdr:row>12</xdr:row>
      <xdr:rowOff>104775</xdr:rowOff>
    </xdr:to>
    <xdr:sp macro="" textlink="">
      <xdr:nvSpPr>
        <xdr:cNvPr id="8" name="TextovéPole 7"/>
        <xdr:cNvSpPr txBox="1"/>
      </xdr:nvSpPr>
      <xdr:spPr>
        <a:xfrm>
          <a:off x="10487025" y="2057400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90m</a:t>
          </a:r>
        </a:p>
      </xdr:txBody>
    </xdr:sp>
    <xdr:clientData/>
  </xdr:twoCellAnchor>
  <xdr:twoCellAnchor>
    <xdr:from>
      <xdr:col>17</xdr:col>
      <xdr:colOff>180975</xdr:colOff>
      <xdr:row>14</xdr:row>
      <xdr:rowOff>9525</xdr:rowOff>
    </xdr:from>
    <xdr:to>
      <xdr:col>18</xdr:col>
      <xdr:colOff>238126</xdr:colOff>
      <xdr:row>15</xdr:row>
      <xdr:rowOff>133350</xdr:rowOff>
    </xdr:to>
    <xdr:sp macro="" textlink="">
      <xdr:nvSpPr>
        <xdr:cNvPr id="9" name="TextovéPole 8"/>
        <xdr:cNvSpPr txBox="1"/>
      </xdr:nvSpPr>
      <xdr:spPr>
        <a:xfrm>
          <a:off x="11363325" y="2695575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120m</a:t>
          </a:r>
        </a:p>
      </xdr:txBody>
    </xdr:sp>
    <xdr:clientData/>
  </xdr:twoCellAnchor>
  <xdr:twoCellAnchor>
    <xdr:from>
      <xdr:col>17</xdr:col>
      <xdr:colOff>438150</xdr:colOff>
      <xdr:row>18</xdr:row>
      <xdr:rowOff>66675</xdr:rowOff>
    </xdr:from>
    <xdr:to>
      <xdr:col>18</xdr:col>
      <xdr:colOff>495301</xdr:colOff>
      <xdr:row>20</xdr:row>
      <xdr:rowOff>0</xdr:rowOff>
    </xdr:to>
    <xdr:sp macro="" textlink="">
      <xdr:nvSpPr>
        <xdr:cNvPr id="10" name="TextovéPole 9"/>
        <xdr:cNvSpPr txBox="1"/>
      </xdr:nvSpPr>
      <xdr:spPr>
        <a:xfrm>
          <a:off x="11620500" y="3514725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160m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466725</xdr:colOff>
      <xdr:row>2</xdr:row>
      <xdr:rowOff>28575</xdr:rowOff>
    </xdr:from>
    <xdr:to>
      <xdr:col>18</xdr:col>
      <xdr:colOff>581025</xdr:colOff>
      <xdr:row>24</xdr:row>
      <xdr:rowOff>171450</xdr:rowOff>
    </xdr:to>
    <xdr:sp macro="" textlink="">
      <xdr:nvSpPr>
        <xdr:cNvPr id="2" name="Ovál 1"/>
        <xdr:cNvSpPr/>
      </xdr:nvSpPr>
      <xdr:spPr>
        <a:xfrm>
          <a:off x="7991475" y="590550"/>
          <a:ext cx="4381500" cy="4314825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438150</xdr:colOff>
      <xdr:row>4</xdr:row>
      <xdr:rowOff>171450</xdr:rowOff>
    </xdr:from>
    <xdr:to>
      <xdr:col>18</xdr:col>
      <xdr:colOff>76200</xdr:colOff>
      <xdr:row>22</xdr:row>
      <xdr:rowOff>19050</xdr:rowOff>
    </xdr:to>
    <xdr:sp macro="" textlink="">
      <xdr:nvSpPr>
        <xdr:cNvPr id="3" name="Ovál 2"/>
        <xdr:cNvSpPr/>
      </xdr:nvSpPr>
      <xdr:spPr>
        <a:xfrm>
          <a:off x="8572500" y="1114425"/>
          <a:ext cx="3295650" cy="325755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228600</xdr:colOff>
      <xdr:row>7</xdr:row>
      <xdr:rowOff>142875</xdr:rowOff>
    </xdr:from>
    <xdr:to>
      <xdr:col>17</xdr:col>
      <xdr:colOff>295275</xdr:colOff>
      <xdr:row>19</xdr:row>
      <xdr:rowOff>76200</xdr:rowOff>
    </xdr:to>
    <xdr:sp macro="" textlink="">
      <xdr:nvSpPr>
        <xdr:cNvPr id="4" name="Ovál 3"/>
        <xdr:cNvSpPr/>
      </xdr:nvSpPr>
      <xdr:spPr>
        <a:xfrm>
          <a:off x="8972550" y="1600200"/>
          <a:ext cx="2505075" cy="2257425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15</xdr:col>
      <xdr:colOff>228600</xdr:colOff>
      <xdr:row>11</xdr:row>
      <xdr:rowOff>123825</xdr:rowOff>
    </xdr:from>
    <xdr:to>
      <xdr:col>17</xdr:col>
      <xdr:colOff>190500</xdr:colOff>
      <xdr:row>13</xdr:row>
      <xdr:rowOff>28575</xdr:rowOff>
    </xdr:to>
    <xdr:cxnSp macro="">
      <xdr:nvCxnSpPr>
        <xdr:cNvPr id="5" name="Přímá spojnice se šipkou 4"/>
        <xdr:cNvCxnSpPr/>
      </xdr:nvCxnSpPr>
      <xdr:spPr>
        <a:xfrm flipV="1">
          <a:off x="10191750" y="2343150"/>
          <a:ext cx="1181100" cy="323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247650</xdr:colOff>
      <xdr:row>13</xdr:row>
      <xdr:rowOff>38100</xdr:rowOff>
    </xdr:from>
    <xdr:to>
      <xdr:col>18</xdr:col>
      <xdr:colOff>19050</xdr:colOff>
      <xdr:row>16</xdr:row>
      <xdr:rowOff>47625</xdr:rowOff>
    </xdr:to>
    <xdr:cxnSp macro="">
      <xdr:nvCxnSpPr>
        <xdr:cNvPr id="6" name="Přímá spojnice se šipkou 5"/>
        <xdr:cNvCxnSpPr/>
      </xdr:nvCxnSpPr>
      <xdr:spPr>
        <a:xfrm>
          <a:off x="10210800" y="2676525"/>
          <a:ext cx="1600200" cy="5810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219075</xdr:colOff>
      <xdr:row>13</xdr:row>
      <xdr:rowOff>28575</xdr:rowOff>
    </xdr:from>
    <xdr:to>
      <xdr:col>18</xdr:col>
      <xdr:colOff>114300</xdr:colOff>
      <xdr:row>20</xdr:row>
      <xdr:rowOff>161925</xdr:rowOff>
    </xdr:to>
    <xdr:cxnSp macro="">
      <xdr:nvCxnSpPr>
        <xdr:cNvPr id="7" name="Přímá spojnice se šipkou 6"/>
        <xdr:cNvCxnSpPr/>
      </xdr:nvCxnSpPr>
      <xdr:spPr>
        <a:xfrm>
          <a:off x="10182225" y="2667000"/>
          <a:ext cx="1724025" cy="1466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523875</xdr:colOff>
      <xdr:row>10</xdr:row>
      <xdr:rowOff>171450</xdr:rowOff>
    </xdr:from>
    <xdr:to>
      <xdr:col>16</xdr:col>
      <xdr:colOff>581026</xdr:colOff>
      <xdr:row>12</xdr:row>
      <xdr:rowOff>104775</xdr:rowOff>
    </xdr:to>
    <xdr:sp macro="" textlink="">
      <xdr:nvSpPr>
        <xdr:cNvPr id="8" name="TextovéPole 7"/>
        <xdr:cNvSpPr txBox="1"/>
      </xdr:nvSpPr>
      <xdr:spPr>
        <a:xfrm>
          <a:off x="10487025" y="2200275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90m</a:t>
          </a:r>
        </a:p>
      </xdr:txBody>
    </xdr:sp>
    <xdr:clientData/>
  </xdr:twoCellAnchor>
  <xdr:twoCellAnchor>
    <xdr:from>
      <xdr:col>17</xdr:col>
      <xdr:colOff>180975</xdr:colOff>
      <xdr:row>14</xdr:row>
      <xdr:rowOff>9525</xdr:rowOff>
    </xdr:from>
    <xdr:to>
      <xdr:col>18</xdr:col>
      <xdr:colOff>238126</xdr:colOff>
      <xdr:row>15</xdr:row>
      <xdr:rowOff>133350</xdr:rowOff>
    </xdr:to>
    <xdr:sp macro="" textlink="">
      <xdr:nvSpPr>
        <xdr:cNvPr id="9" name="TextovéPole 8"/>
        <xdr:cNvSpPr txBox="1"/>
      </xdr:nvSpPr>
      <xdr:spPr>
        <a:xfrm>
          <a:off x="11363325" y="2838450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120m</a:t>
          </a:r>
        </a:p>
      </xdr:txBody>
    </xdr:sp>
    <xdr:clientData/>
  </xdr:twoCellAnchor>
  <xdr:twoCellAnchor>
    <xdr:from>
      <xdr:col>17</xdr:col>
      <xdr:colOff>438150</xdr:colOff>
      <xdr:row>18</xdr:row>
      <xdr:rowOff>66675</xdr:rowOff>
    </xdr:from>
    <xdr:to>
      <xdr:col>18</xdr:col>
      <xdr:colOff>495301</xdr:colOff>
      <xdr:row>20</xdr:row>
      <xdr:rowOff>0</xdr:rowOff>
    </xdr:to>
    <xdr:sp macro="" textlink="">
      <xdr:nvSpPr>
        <xdr:cNvPr id="10" name="TextovéPole 9"/>
        <xdr:cNvSpPr txBox="1"/>
      </xdr:nvSpPr>
      <xdr:spPr>
        <a:xfrm>
          <a:off x="11620500" y="3657600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160m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466725</xdr:colOff>
      <xdr:row>2</xdr:row>
      <xdr:rowOff>28575</xdr:rowOff>
    </xdr:from>
    <xdr:to>
      <xdr:col>19</xdr:col>
      <xdr:colOff>581025</xdr:colOff>
      <xdr:row>24</xdr:row>
      <xdr:rowOff>171450</xdr:rowOff>
    </xdr:to>
    <xdr:sp macro="" textlink="">
      <xdr:nvSpPr>
        <xdr:cNvPr id="2" name="Ovál 1"/>
        <xdr:cNvSpPr/>
      </xdr:nvSpPr>
      <xdr:spPr>
        <a:xfrm>
          <a:off x="7991475" y="590550"/>
          <a:ext cx="4381500" cy="4314825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438150</xdr:colOff>
      <xdr:row>4</xdr:row>
      <xdr:rowOff>171450</xdr:rowOff>
    </xdr:from>
    <xdr:to>
      <xdr:col>19</xdr:col>
      <xdr:colOff>76200</xdr:colOff>
      <xdr:row>22</xdr:row>
      <xdr:rowOff>19050</xdr:rowOff>
    </xdr:to>
    <xdr:sp macro="" textlink="">
      <xdr:nvSpPr>
        <xdr:cNvPr id="3" name="Ovál 2"/>
        <xdr:cNvSpPr/>
      </xdr:nvSpPr>
      <xdr:spPr>
        <a:xfrm>
          <a:off x="8572500" y="1114425"/>
          <a:ext cx="3295650" cy="325755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14</xdr:col>
      <xdr:colOff>228600</xdr:colOff>
      <xdr:row>7</xdr:row>
      <xdr:rowOff>142875</xdr:rowOff>
    </xdr:from>
    <xdr:to>
      <xdr:col>18</xdr:col>
      <xdr:colOff>295275</xdr:colOff>
      <xdr:row>19</xdr:row>
      <xdr:rowOff>76200</xdr:rowOff>
    </xdr:to>
    <xdr:sp macro="" textlink="">
      <xdr:nvSpPr>
        <xdr:cNvPr id="4" name="Ovál 3"/>
        <xdr:cNvSpPr/>
      </xdr:nvSpPr>
      <xdr:spPr>
        <a:xfrm>
          <a:off x="8972550" y="1600200"/>
          <a:ext cx="2505075" cy="2257425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16</xdr:col>
      <xdr:colOff>228600</xdr:colOff>
      <xdr:row>11</xdr:row>
      <xdr:rowOff>123825</xdr:rowOff>
    </xdr:from>
    <xdr:to>
      <xdr:col>18</xdr:col>
      <xdr:colOff>190500</xdr:colOff>
      <xdr:row>13</xdr:row>
      <xdr:rowOff>28575</xdr:rowOff>
    </xdr:to>
    <xdr:cxnSp macro="">
      <xdr:nvCxnSpPr>
        <xdr:cNvPr id="5" name="Přímá spojnice se šipkou 4"/>
        <xdr:cNvCxnSpPr/>
      </xdr:nvCxnSpPr>
      <xdr:spPr>
        <a:xfrm flipV="1">
          <a:off x="10191750" y="2343150"/>
          <a:ext cx="1181100" cy="323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247650</xdr:colOff>
      <xdr:row>13</xdr:row>
      <xdr:rowOff>38100</xdr:rowOff>
    </xdr:from>
    <xdr:to>
      <xdr:col>19</xdr:col>
      <xdr:colOff>19050</xdr:colOff>
      <xdr:row>16</xdr:row>
      <xdr:rowOff>47625</xdr:rowOff>
    </xdr:to>
    <xdr:cxnSp macro="">
      <xdr:nvCxnSpPr>
        <xdr:cNvPr id="6" name="Přímá spojnice se šipkou 5"/>
        <xdr:cNvCxnSpPr/>
      </xdr:nvCxnSpPr>
      <xdr:spPr>
        <a:xfrm>
          <a:off x="10210800" y="2676525"/>
          <a:ext cx="1600200" cy="5810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219075</xdr:colOff>
      <xdr:row>13</xdr:row>
      <xdr:rowOff>28575</xdr:rowOff>
    </xdr:from>
    <xdr:to>
      <xdr:col>19</xdr:col>
      <xdr:colOff>114300</xdr:colOff>
      <xdr:row>20</xdr:row>
      <xdr:rowOff>161925</xdr:rowOff>
    </xdr:to>
    <xdr:cxnSp macro="">
      <xdr:nvCxnSpPr>
        <xdr:cNvPr id="7" name="Přímá spojnice se šipkou 6"/>
        <xdr:cNvCxnSpPr/>
      </xdr:nvCxnSpPr>
      <xdr:spPr>
        <a:xfrm>
          <a:off x="10182225" y="2667000"/>
          <a:ext cx="1724025" cy="14668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523875</xdr:colOff>
      <xdr:row>10</xdr:row>
      <xdr:rowOff>171450</xdr:rowOff>
    </xdr:from>
    <xdr:to>
      <xdr:col>17</xdr:col>
      <xdr:colOff>581026</xdr:colOff>
      <xdr:row>12</xdr:row>
      <xdr:rowOff>104775</xdr:rowOff>
    </xdr:to>
    <xdr:sp macro="" textlink="">
      <xdr:nvSpPr>
        <xdr:cNvPr id="8" name="TextovéPole 7"/>
        <xdr:cNvSpPr txBox="1"/>
      </xdr:nvSpPr>
      <xdr:spPr>
        <a:xfrm>
          <a:off x="10487025" y="2200275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90m</a:t>
          </a:r>
        </a:p>
      </xdr:txBody>
    </xdr:sp>
    <xdr:clientData/>
  </xdr:twoCellAnchor>
  <xdr:twoCellAnchor>
    <xdr:from>
      <xdr:col>18</xdr:col>
      <xdr:colOff>180975</xdr:colOff>
      <xdr:row>14</xdr:row>
      <xdr:rowOff>9525</xdr:rowOff>
    </xdr:from>
    <xdr:to>
      <xdr:col>19</xdr:col>
      <xdr:colOff>238126</xdr:colOff>
      <xdr:row>15</xdr:row>
      <xdr:rowOff>133350</xdr:rowOff>
    </xdr:to>
    <xdr:sp macro="" textlink="">
      <xdr:nvSpPr>
        <xdr:cNvPr id="9" name="TextovéPole 8"/>
        <xdr:cNvSpPr txBox="1"/>
      </xdr:nvSpPr>
      <xdr:spPr>
        <a:xfrm>
          <a:off x="11363325" y="2838450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120m</a:t>
          </a:r>
        </a:p>
      </xdr:txBody>
    </xdr:sp>
    <xdr:clientData/>
  </xdr:twoCellAnchor>
  <xdr:twoCellAnchor>
    <xdr:from>
      <xdr:col>18</xdr:col>
      <xdr:colOff>438150</xdr:colOff>
      <xdr:row>18</xdr:row>
      <xdr:rowOff>66675</xdr:rowOff>
    </xdr:from>
    <xdr:to>
      <xdr:col>19</xdr:col>
      <xdr:colOff>495301</xdr:colOff>
      <xdr:row>20</xdr:row>
      <xdr:rowOff>0</xdr:rowOff>
    </xdr:to>
    <xdr:sp macro="" textlink="">
      <xdr:nvSpPr>
        <xdr:cNvPr id="10" name="TextovéPole 9"/>
        <xdr:cNvSpPr txBox="1"/>
      </xdr:nvSpPr>
      <xdr:spPr>
        <a:xfrm>
          <a:off x="11620500" y="3657600"/>
          <a:ext cx="666751" cy="314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/>
            <a:t>160m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6"/>
  <sheetViews>
    <sheetView workbookViewId="0">
      <selection activeCell="E6" sqref="E6"/>
    </sheetView>
  </sheetViews>
  <sheetFormatPr defaultRowHeight="15" x14ac:dyDescent="0.25"/>
  <cols>
    <col min="7" max="7" width="10.5703125" customWidth="1"/>
    <col min="8" max="8" width="10.42578125" bestFit="1" customWidth="1"/>
    <col min="9" max="9" width="11.140625" bestFit="1" customWidth="1"/>
    <col min="10" max="10" width="20.28515625" customWidth="1"/>
  </cols>
  <sheetData>
    <row r="1" spans="1:14" x14ac:dyDescent="0.25">
      <c r="E1" t="s">
        <v>18</v>
      </c>
    </row>
    <row r="3" spans="1:14" ht="18.75" x14ac:dyDescent="0.35">
      <c r="G3" t="s">
        <v>19</v>
      </c>
      <c r="N3" s="31" t="s">
        <v>24</v>
      </c>
    </row>
    <row r="4" spans="1:14" ht="15.75" thickBot="1" x14ac:dyDescent="0.3">
      <c r="A4" s="36" t="s">
        <v>25</v>
      </c>
      <c r="B4" s="36" t="s">
        <v>29</v>
      </c>
      <c r="C4" s="36" t="s">
        <v>26</v>
      </c>
      <c r="D4" s="36" t="s">
        <v>21</v>
      </c>
      <c r="E4" s="36" t="s">
        <v>27</v>
      </c>
      <c r="F4" s="36" t="s">
        <v>28</v>
      </c>
      <c r="G4" s="36" t="s">
        <v>20</v>
      </c>
      <c r="H4" s="36" t="s">
        <v>21</v>
      </c>
      <c r="I4" s="36" t="s">
        <v>31</v>
      </c>
      <c r="J4" s="36"/>
      <c r="N4" t="s">
        <v>32</v>
      </c>
    </row>
    <row r="5" spans="1:14" ht="15.75" thickBot="1" x14ac:dyDescent="0.3">
      <c r="A5" s="37">
        <v>25</v>
      </c>
      <c r="B5" s="33">
        <f>A5+273</f>
        <v>298</v>
      </c>
      <c r="C5" s="38">
        <v>1.1000000000000001</v>
      </c>
      <c r="D5" s="39">
        <v>73</v>
      </c>
      <c r="E5" s="35"/>
      <c r="G5" s="40">
        <v>5</v>
      </c>
      <c r="H5" s="39">
        <v>150</v>
      </c>
      <c r="I5" t="s">
        <v>22</v>
      </c>
      <c r="J5" t="s">
        <v>30</v>
      </c>
    </row>
    <row r="6" spans="1:14" x14ac:dyDescent="0.25">
      <c r="A6" s="32">
        <f>A5</f>
        <v>25</v>
      </c>
      <c r="B6" s="33">
        <f t="shared" ref="B6:B69" si="0">A6+273</f>
        <v>298</v>
      </c>
      <c r="C6" s="34">
        <f>C5</f>
        <v>1.1000000000000001</v>
      </c>
      <c r="D6" s="27">
        <f>D5</f>
        <v>73</v>
      </c>
      <c r="E6" s="35">
        <f t="shared" ref="E6:E70" si="1">C6*EXP(-I6/D6)+B6</f>
        <v>299.10000000000002</v>
      </c>
      <c r="F6" s="26">
        <f t="shared" ref="F6:F70" si="2">11.8*SQRT((50*(E6-B6)/B6))</f>
        <v>5.0693843529684486</v>
      </c>
      <c r="G6" s="26">
        <f>G5</f>
        <v>5</v>
      </c>
      <c r="H6" s="27">
        <f>H5</f>
        <v>150</v>
      </c>
      <c r="I6" s="28">
        <v>0</v>
      </c>
      <c r="J6" s="26">
        <f>5-POWER(I6/70,2)</f>
        <v>5</v>
      </c>
    </row>
    <row r="7" spans="1:14" x14ac:dyDescent="0.25">
      <c r="A7" s="32">
        <f t="shared" ref="A7:A70" si="3">A6</f>
        <v>25</v>
      </c>
      <c r="B7" s="33">
        <f t="shared" si="0"/>
        <v>298</v>
      </c>
      <c r="C7" s="34">
        <f t="shared" ref="C7:D70" si="4">C6</f>
        <v>1.1000000000000001</v>
      </c>
      <c r="D7" s="27">
        <f t="shared" si="4"/>
        <v>73</v>
      </c>
      <c r="E7" s="35">
        <f t="shared" si="1"/>
        <v>299.08503424604271</v>
      </c>
      <c r="F7" s="26">
        <f t="shared" si="2"/>
        <v>5.0347811816214909</v>
      </c>
      <c r="G7" s="26">
        <f t="shared" ref="G7:G70" si="5">G6</f>
        <v>5</v>
      </c>
      <c r="H7" s="27">
        <f t="shared" ref="H7:H70" si="6">H6</f>
        <v>150</v>
      </c>
      <c r="I7" s="28">
        <v>1</v>
      </c>
      <c r="J7" s="26">
        <f t="shared" ref="J7:J70" si="7">5-POWER(I7/70,2)</f>
        <v>4.9997959183673473</v>
      </c>
    </row>
    <row r="8" spans="1:14" x14ac:dyDescent="0.25">
      <c r="A8" s="32">
        <f t="shared" si="3"/>
        <v>25</v>
      </c>
      <c r="B8" s="33">
        <f t="shared" si="0"/>
        <v>298</v>
      </c>
      <c r="C8" s="34">
        <f t="shared" si="4"/>
        <v>1.1000000000000001</v>
      </c>
      <c r="D8" s="27">
        <f t="shared" si="4"/>
        <v>73</v>
      </c>
      <c r="E8" s="35">
        <f t="shared" si="1"/>
        <v>299.0702721046232</v>
      </c>
      <c r="F8" s="26">
        <f t="shared" si="2"/>
        <v>5.0004142084762613</v>
      </c>
      <c r="G8" s="26">
        <f t="shared" si="5"/>
        <v>5</v>
      </c>
      <c r="H8" s="27">
        <f t="shared" si="6"/>
        <v>150</v>
      </c>
      <c r="I8" s="28">
        <v>2</v>
      </c>
      <c r="J8" s="26">
        <f t="shared" si="7"/>
        <v>4.9991836734693882</v>
      </c>
    </row>
    <row r="9" spans="1:14" x14ac:dyDescent="0.25">
      <c r="A9" s="32">
        <f t="shared" si="3"/>
        <v>25</v>
      </c>
      <c r="B9" s="33">
        <f t="shared" si="0"/>
        <v>298</v>
      </c>
      <c r="C9" s="34">
        <f t="shared" si="4"/>
        <v>1.1000000000000001</v>
      </c>
      <c r="D9" s="27">
        <f t="shared" si="4"/>
        <v>73</v>
      </c>
      <c r="E9" s="35">
        <f t="shared" si="1"/>
        <v>299.0557108055458</v>
      </c>
      <c r="F9" s="26">
        <f t="shared" si="2"/>
        <v>4.966281821264376</v>
      </c>
      <c r="G9" s="26">
        <f t="shared" si="5"/>
        <v>5</v>
      </c>
      <c r="H9" s="27">
        <f t="shared" si="6"/>
        <v>150</v>
      </c>
      <c r="I9" s="28">
        <v>3</v>
      </c>
      <c r="J9" s="26">
        <f t="shared" si="7"/>
        <v>4.9981632653061228</v>
      </c>
    </row>
    <row r="10" spans="1:14" x14ac:dyDescent="0.25">
      <c r="A10" s="32">
        <f t="shared" si="3"/>
        <v>25</v>
      </c>
      <c r="B10" s="33">
        <f t="shared" si="0"/>
        <v>298</v>
      </c>
      <c r="C10" s="34">
        <f t="shared" si="4"/>
        <v>1.1000000000000001</v>
      </c>
      <c r="D10" s="27">
        <f t="shared" si="4"/>
        <v>73</v>
      </c>
      <c r="E10" s="35">
        <f t="shared" si="1"/>
        <v>299.04134761630417</v>
      </c>
      <c r="F10" s="26">
        <f t="shared" si="2"/>
        <v>4.9323824187231109</v>
      </c>
      <c r="G10" s="26">
        <f t="shared" si="5"/>
        <v>5</v>
      </c>
      <c r="H10" s="27">
        <f t="shared" si="6"/>
        <v>150</v>
      </c>
      <c r="I10" s="28">
        <v>4</v>
      </c>
      <c r="J10" s="26">
        <f t="shared" si="7"/>
        <v>4.996734693877551</v>
      </c>
    </row>
    <row r="11" spans="1:14" x14ac:dyDescent="0.25">
      <c r="A11" s="32">
        <f t="shared" si="3"/>
        <v>25</v>
      </c>
      <c r="B11" s="33">
        <f t="shared" si="0"/>
        <v>298</v>
      </c>
      <c r="C11" s="34">
        <f t="shared" si="4"/>
        <v>1.1000000000000001</v>
      </c>
      <c r="D11" s="27">
        <f t="shared" si="4"/>
        <v>73</v>
      </c>
      <c r="E11" s="35">
        <f t="shared" si="1"/>
        <v>299.02717984156817</v>
      </c>
      <c r="F11" s="26">
        <f t="shared" si="2"/>
        <v>4.8987144105194451</v>
      </c>
      <c r="G11" s="26">
        <f t="shared" si="5"/>
        <v>5</v>
      </c>
      <c r="H11" s="27">
        <f t="shared" si="6"/>
        <v>150</v>
      </c>
      <c r="I11" s="28">
        <v>5</v>
      </c>
      <c r="J11" s="26">
        <f t="shared" si="7"/>
        <v>4.9948979591836737</v>
      </c>
    </row>
    <row r="12" spans="1:14" x14ac:dyDescent="0.25">
      <c r="A12" s="32">
        <f t="shared" si="3"/>
        <v>25</v>
      </c>
      <c r="B12" s="33">
        <f t="shared" si="0"/>
        <v>298</v>
      </c>
      <c r="C12" s="34">
        <f t="shared" si="4"/>
        <v>1.1000000000000001</v>
      </c>
      <c r="D12" s="27">
        <f t="shared" si="4"/>
        <v>73</v>
      </c>
      <c r="E12" s="35">
        <f t="shared" si="1"/>
        <v>299.01320482267835</v>
      </c>
      <c r="F12" s="26">
        <f t="shared" si="2"/>
        <v>4.865276217175988</v>
      </c>
      <c r="G12" s="26">
        <f t="shared" si="5"/>
        <v>5</v>
      </c>
      <c r="H12" s="27">
        <f t="shared" si="6"/>
        <v>150</v>
      </c>
      <c r="I12" s="28">
        <v>6</v>
      </c>
      <c r="J12" s="26">
        <f t="shared" si="7"/>
        <v>4.9926530612244902</v>
      </c>
    </row>
    <row r="13" spans="1:14" x14ac:dyDescent="0.25">
      <c r="A13" s="32">
        <f t="shared" si="3"/>
        <v>25</v>
      </c>
      <c r="B13" s="33">
        <f t="shared" si="0"/>
        <v>298</v>
      </c>
      <c r="C13" s="34">
        <f t="shared" si="4"/>
        <v>1.1000000000000001</v>
      </c>
      <c r="D13" s="27">
        <f t="shared" si="4"/>
        <v>73</v>
      </c>
      <c r="E13" s="35">
        <f t="shared" si="1"/>
        <v>298.99941993714697</v>
      </c>
      <c r="F13" s="26">
        <f t="shared" si="2"/>
        <v>4.8320662699968819</v>
      </c>
      <c r="G13" s="26">
        <f t="shared" si="5"/>
        <v>5</v>
      </c>
      <c r="H13" s="27">
        <f t="shared" si="6"/>
        <v>150</v>
      </c>
      <c r="I13" s="28">
        <v>7</v>
      </c>
      <c r="J13" s="26">
        <f t="shared" si="7"/>
        <v>4.99</v>
      </c>
    </row>
    <row r="14" spans="1:14" x14ac:dyDescent="0.25">
      <c r="A14" s="32">
        <f t="shared" si="3"/>
        <v>25</v>
      </c>
      <c r="B14" s="33">
        <f t="shared" si="0"/>
        <v>298</v>
      </c>
      <c r="C14" s="34">
        <f t="shared" si="4"/>
        <v>1.1000000000000001</v>
      </c>
      <c r="D14" s="27">
        <f t="shared" si="4"/>
        <v>73</v>
      </c>
      <c r="E14" s="35">
        <f t="shared" si="1"/>
        <v>298.98582259816573</v>
      </c>
      <c r="F14" s="26">
        <f t="shared" si="2"/>
        <v>4.7990830109937317</v>
      </c>
      <c r="G14" s="26">
        <f t="shared" si="5"/>
        <v>5</v>
      </c>
      <c r="H14" s="27">
        <f t="shared" si="6"/>
        <v>150</v>
      </c>
      <c r="I14" s="28">
        <v>8</v>
      </c>
      <c r="J14" s="26">
        <f t="shared" si="7"/>
        <v>4.9869387755102039</v>
      </c>
    </row>
    <row r="15" spans="1:14" x14ac:dyDescent="0.25">
      <c r="A15" s="32">
        <f t="shared" si="3"/>
        <v>25</v>
      </c>
      <c r="B15" s="33">
        <f t="shared" si="0"/>
        <v>298</v>
      </c>
      <c r="C15" s="34">
        <f t="shared" si="4"/>
        <v>1.1000000000000001</v>
      </c>
      <c r="D15" s="27">
        <f t="shared" si="4"/>
        <v>73</v>
      </c>
      <c r="E15" s="35">
        <f t="shared" si="1"/>
        <v>298.97241025412058</v>
      </c>
      <c r="F15" s="26">
        <f t="shared" si="2"/>
        <v>4.766324892813171</v>
      </c>
      <c r="G15" s="26">
        <f t="shared" si="5"/>
        <v>5</v>
      </c>
      <c r="H15" s="27">
        <f t="shared" si="6"/>
        <v>150</v>
      </c>
      <c r="I15" s="28">
        <v>9</v>
      </c>
      <c r="J15" s="26">
        <f t="shared" si="7"/>
        <v>4.9834693877551022</v>
      </c>
    </row>
    <row r="16" spans="1:14" x14ac:dyDescent="0.25">
      <c r="A16" s="32">
        <f t="shared" si="3"/>
        <v>25</v>
      </c>
      <c r="B16" s="33">
        <f t="shared" si="0"/>
        <v>298</v>
      </c>
      <c r="C16" s="34">
        <f t="shared" si="4"/>
        <v>1.1000000000000001</v>
      </c>
      <c r="D16" s="27">
        <f t="shared" si="4"/>
        <v>73</v>
      </c>
      <c r="E16" s="35">
        <f t="shared" si="1"/>
        <v>298.95918038811271</v>
      </c>
      <c r="F16" s="26">
        <f t="shared" si="2"/>
        <v>4.7337903786637936</v>
      </c>
      <c r="G16" s="26">
        <f t="shared" si="5"/>
        <v>5</v>
      </c>
      <c r="H16" s="27">
        <f t="shared" si="6"/>
        <v>150</v>
      </c>
      <c r="I16" s="28">
        <v>10</v>
      </c>
      <c r="J16" s="26">
        <f t="shared" si="7"/>
        <v>4.9795918367346941</v>
      </c>
    </row>
    <row r="17" spans="1:10" x14ac:dyDescent="0.25">
      <c r="A17" s="32">
        <f t="shared" si="3"/>
        <v>25</v>
      </c>
      <c r="B17" s="33">
        <f t="shared" si="0"/>
        <v>298</v>
      </c>
      <c r="C17" s="34">
        <f t="shared" si="4"/>
        <v>1.1000000000000001</v>
      </c>
      <c r="D17" s="27">
        <f t="shared" si="4"/>
        <v>73</v>
      </c>
      <c r="E17" s="35">
        <f t="shared" si="1"/>
        <v>298.94613051748621</v>
      </c>
      <c r="F17" s="26">
        <f t="shared" si="2"/>
        <v>4.7014779422439101</v>
      </c>
      <c r="G17" s="26">
        <f t="shared" si="5"/>
        <v>5</v>
      </c>
      <c r="H17" s="27">
        <f t="shared" si="6"/>
        <v>150</v>
      </c>
      <c r="I17" s="28">
        <v>11</v>
      </c>
      <c r="J17" s="26">
        <f t="shared" si="7"/>
        <v>4.9753061224489796</v>
      </c>
    </row>
    <row r="18" spans="1:10" x14ac:dyDescent="0.25">
      <c r="A18" s="32">
        <f t="shared" si="3"/>
        <v>25</v>
      </c>
      <c r="B18" s="33">
        <f t="shared" si="0"/>
        <v>298</v>
      </c>
      <c r="C18" s="34">
        <f t="shared" si="4"/>
        <v>1.1000000000000001</v>
      </c>
      <c r="D18" s="27">
        <f t="shared" si="4"/>
        <v>73</v>
      </c>
      <c r="E18" s="35">
        <f t="shared" si="1"/>
        <v>298.93325819336241</v>
      </c>
      <c r="F18" s="26">
        <f t="shared" si="2"/>
        <v>4.6693860676706311</v>
      </c>
      <c r="G18" s="26">
        <f t="shared" si="5"/>
        <v>5</v>
      </c>
      <c r="H18" s="27">
        <f t="shared" si="6"/>
        <v>150</v>
      </c>
      <c r="I18" s="28">
        <v>12</v>
      </c>
      <c r="J18" s="26">
        <f t="shared" si="7"/>
        <v>4.9706122448979588</v>
      </c>
    </row>
    <row r="19" spans="1:10" x14ac:dyDescent="0.25">
      <c r="A19" s="32">
        <f t="shared" si="3"/>
        <v>25</v>
      </c>
      <c r="B19" s="33">
        <f t="shared" si="0"/>
        <v>298</v>
      </c>
      <c r="C19" s="34">
        <f t="shared" si="4"/>
        <v>1.1000000000000001</v>
      </c>
      <c r="D19" s="27">
        <f t="shared" si="4"/>
        <v>73</v>
      </c>
      <c r="E19" s="35">
        <f t="shared" si="1"/>
        <v>298.92056100018016</v>
      </c>
      <c r="F19" s="26">
        <f t="shared" si="2"/>
        <v>4.6375132494082543</v>
      </c>
      <c r="G19" s="26">
        <f t="shared" si="5"/>
        <v>5</v>
      </c>
      <c r="H19" s="27">
        <f t="shared" si="6"/>
        <v>150</v>
      </c>
      <c r="I19" s="28">
        <v>13</v>
      </c>
      <c r="J19" s="26">
        <f t="shared" si="7"/>
        <v>4.9655102040816326</v>
      </c>
    </row>
    <row r="20" spans="1:10" x14ac:dyDescent="0.25">
      <c r="A20" s="32">
        <f t="shared" si="3"/>
        <v>25</v>
      </c>
      <c r="B20" s="33">
        <f t="shared" si="0"/>
        <v>298</v>
      </c>
      <c r="C20" s="34">
        <f t="shared" si="4"/>
        <v>1.1000000000000001</v>
      </c>
      <c r="D20" s="27">
        <f t="shared" si="4"/>
        <v>73</v>
      </c>
      <c r="E20" s="35">
        <f t="shared" si="1"/>
        <v>298.90803655524257</v>
      </c>
      <c r="F20" s="26">
        <f t="shared" si="2"/>
        <v>4.6058579921976852</v>
      </c>
      <c r="G20" s="26">
        <f t="shared" si="5"/>
        <v>5</v>
      </c>
      <c r="H20" s="27">
        <f t="shared" si="6"/>
        <v>150</v>
      </c>
      <c r="I20" s="28">
        <v>14</v>
      </c>
      <c r="J20" s="26">
        <f t="shared" si="7"/>
        <v>4.96</v>
      </c>
    </row>
    <row r="21" spans="1:10" x14ac:dyDescent="0.25">
      <c r="A21" s="32">
        <f t="shared" si="3"/>
        <v>25</v>
      </c>
      <c r="B21" s="33">
        <f t="shared" si="0"/>
        <v>298</v>
      </c>
      <c r="C21" s="34">
        <f t="shared" si="4"/>
        <v>1.1000000000000001</v>
      </c>
      <c r="D21" s="27">
        <f t="shared" si="4"/>
        <v>73</v>
      </c>
      <c r="E21" s="35">
        <f t="shared" si="1"/>
        <v>298.89568250826989</v>
      </c>
      <c r="F21" s="26">
        <f t="shared" si="2"/>
        <v>4.5744188109862849</v>
      </c>
      <c r="G21" s="26">
        <f t="shared" si="5"/>
        <v>5</v>
      </c>
      <c r="H21" s="27">
        <f t="shared" si="6"/>
        <v>150</v>
      </c>
      <c r="I21" s="28">
        <v>15</v>
      </c>
      <c r="J21" s="26">
        <f t="shared" si="7"/>
        <v>4.954081632653061</v>
      </c>
    </row>
    <row r="22" spans="1:10" x14ac:dyDescent="0.25">
      <c r="A22" s="32">
        <f t="shared" si="3"/>
        <v>25</v>
      </c>
      <c r="B22" s="33">
        <f t="shared" si="0"/>
        <v>298</v>
      </c>
      <c r="C22" s="34">
        <f t="shared" si="4"/>
        <v>1.1000000000000001</v>
      </c>
      <c r="D22" s="27">
        <f t="shared" si="4"/>
        <v>73</v>
      </c>
      <c r="E22" s="35">
        <f t="shared" si="1"/>
        <v>298.88349654095845</v>
      </c>
      <c r="F22" s="26">
        <f t="shared" si="2"/>
        <v>4.5431942308583277</v>
      </c>
      <c r="G22" s="26">
        <f t="shared" si="5"/>
        <v>5</v>
      </c>
      <c r="H22" s="27">
        <f t="shared" si="6"/>
        <v>150</v>
      </c>
      <c r="I22" s="28">
        <v>16</v>
      </c>
      <c r="J22" s="26">
        <f t="shared" si="7"/>
        <v>4.9477551020408166</v>
      </c>
    </row>
    <row r="23" spans="1:10" x14ac:dyDescent="0.25">
      <c r="A23" s="32">
        <f t="shared" si="3"/>
        <v>25</v>
      </c>
      <c r="B23" s="33">
        <f t="shared" si="0"/>
        <v>298</v>
      </c>
      <c r="C23" s="34">
        <f t="shared" si="4"/>
        <v>1.1000000000000001</v>
      </c>
      <c r="D23" s="27">
        <f t="shared" si="4"/>
        <v>73</v>
      </c>
      <c r="E23" s="35">
        <f t="shared" si="1"/>
        <v>298.87147636654561</v>
      </c>
      <c r="F23" s="26">
        <f t="shared" si="2"/>
        <v>4.512182786965564</v>
      </c>
      <c r="G23" s="26">
        <f t="shared" si="5"/>
        <v>5</v>
      </c>
      <c r="H23" s="27">
        <f t="shared" si="6"/>
        <v>150</v>
      </c>
      <c r="I23" s="28">
        <v>17</v>
      </c>
      <c r="J23" s="26">
        <f t="shared" si="7"/>
        <v>4.9410204081632649</v>
      </c>
    </row>
    <row r="24" spans="1:10" x14ac:dyDescent="0.25">
      <c r="A24" s="32">
        <f t="shared" si="3"/>
        <v>25</v>
      </c>
      <c r="B24" s="33">
        <f t="shared" si="0"/>
        <v>298</v>
      </c>
      <c r="C24" s="34">
        <f t="shared" si="4"/>
        <v>1.1000000000000001</v>
      </c>
      <c r="D24" s="27">
        <f t="shared" si="4"/>
        <v>73</v>
      </c>
      <c r="E24" s="35">
        <f t="shared" si="1"/>
        <v>298.85961972938082</v>
      </c>
      <c r="F24" s="26">
        <f t="shared" si="2"/>
        <v>4.4813830244591237</v>
      </c>
      <c r="G24" s="26">
        <f t="shared" si="5"/>
        <v>5</v>
      </c>
      <c r="H24" s="27">
        <f t="shared" si="6"/>
        <v>150</v>
      </c>
      <c r="I24" s="28">
        <v>18</v>
      </c>
      <c r="J24" s="26">
        <f t="shared" si="7"/>
        <v>4.9338775510204078</v>
      </c>
    </row>
    <row r="25" spans="1:10" x14ac:dyDescent="0.25">
      <c r="A25" s="32">
        <f t="shared" si="3"/>
        <v>25</v>
      </c>
      <c r="B25" s="33">
        <f t="shared" si="0"/>
        <v>298</v>
      </c>
      <c r="C25" s="34">
        <f t="shared" si="4"/>
        <v>1.1000000000000001</v>
      </c>
      <c r="D25" s="27">
        <f t="shared" si="4"/>
        <v>73</v>
      </c>
      <c r="E25" s="35">
        <f t="shared" si="1"/>
        <v>298.84792440450195</v>
      </c>
      <c r="F25" s="26">
        <f t="shared" si="2"/>
        <v>4.4507934984201611</v>
      </c>
      <c r="G25" s="26">
        <f t="shared" si="5"/>
        <v>5</v>
      </c>
      <c r="H25" s="27">
        <f t="shared" si="6"/>
        <v>150</v>
      </c>
      <c r="I25" s="28">
        <v>19</v>
      </c>
      <c r="J25" s="26">
        <f t="shared" si="7"/>
        <v>4.9263265306122452</v>
      </c>
    </row>
    <row r="26" spans="1:10" x14ac:dyDescent="0.25">
      <c r="A26" s="32">
        <f t="shared" si="3"/>
        <v>25</v>
      </c>
      <c r="B26" s="33">
        <f t="shared" si="0"/>
        <v>298</v>
      </c>
      <c r="C26" s="34">
        <f t="shared" si="4"/>
        <v>1.1000000000000001</v>
      </c>
      <c r="D26" s="27">
        <f t="shared" si="4"/>
        <v>73</v>
      </c>
      <c r="E26" s="35">
        <f t="shared" si="1"/>
        <v>298.83638819721818</v>
      </c>
      <c r="F26" s="26">
        <f t="shared" si="2"/>
        <v>4.4204127737932764</v>
      </c>
      <c r="G26" s="26">
        <f t="shared" si="5"/>
        <v>5</v>
      </c>
      <c r="H26" s="27">
        <f t="shared" si="6"/>
        <v>150</v>
      </c>
      <c r="I26" s="28">
        <v>20</v>
      </c>
      <c r="J26" s="26">
        <f t="shared" si="7"/>
        <v>4.9183673469387754</v>
      </c>
    </row>
    <row r="27" spans="1:10" x14ac:dyDescent="0.25">
      <c r="A27" s="32">
        <f t="shared" si="3"/>
        <v>25</v>
      </c>
      <c r="B27" s="33">
        <f t="shared" si="0"/>
        <v>298</v>
      </c>
      <c r="C27" s="34">
        <f t="shared" si="4"/>
        <v>1.1000000000000001</v>
      </c>
      <c r="D27" s="27">
        <f t="shared" si="4"/>
        <v>73</v>
      </c>
      <c r="E27" s="35">
        <f t="shared" si="1"/>
        <v>298.82500894269788</v>
      </c>
      <c r="F27" s="26">
        <f t="shared" si="2"/>
        <v>4.3902394253183434</v>
      </c>
      <c r="G27" s="26">
        <f t="shared" si="5"/>
        <v>5</v>
      </c>
      <c r="H27" s="27">
        <f t="shared" si="6"/>
        <v>150</v>
      </c>
      <c r="I27" s="28">
        <v>21</v>
      </c>
      <c r="J27" s="26">
        <f t="shared" si="7"/>
        <v>4.91</v>
      </c>
    </row>
    <row r="28" spans="1:10" x14ac:dyDescent="0.25">
      <c r="A28" s="32">
        <f t="shared" si="3"/>
        <v>25</v>
      </c>
      <c r="B28" s="33">
        <f t="shared" si="0"/>
        <v>298</v>
      </c>
      <c r="C28" s="34">
        <f t="shared" si="4"/>
        <v>1.1000000000000001</v>
      </c>
      <c r="D28" s="27">
        <f t="shared" si="4"/>
        <v>73</v>
      </c>
      <c r="E28" s="35">
        <f t="shared" si="1"/>
        <v>298.81378450556247</v>
      </c>
      <c r="F28" s="26">
        <f t="shared" si="2"/>
        <v>4.3602720374640525</v>
      </c>
      <c r="G28" s="26">
        <f t="shared" si="5"/>
        <v>5</v>
      </c>
      <c r="H28" s="27">
        <f t="shared" si="6"/>
        <v>150</v>
      </c>
      <c r="I28" s="28">
        <v>22</v>
      </c>
      <c r="J28" s="26">
        <f t="shared" si="7"/>
        <v>4.9012244897959185</v>
      </c>
    </row>
    <row r="29" spans="1:10" x14ac:dyDescent="0.25">
      <c r="A29" s="32">
        <f t="shared" si="3"/>
        <v>25</v>
      </c>
      <c r="B29" s="33">
        <f t="shared" si="0"/>
        <v>298</v>
      </c>
      <c r="C29" s="34">
        <f t="shared" si="4"/>
        <v>1.1000000000000001</v>
      </c>
      <c r="D29" s="27">
        <f t="shared" si="4"/>
        <v>73</v>
      </c>
      <c r="E29" s="35">
        <f t="shared" si="1"/>
        <v>298.80271277948566</v>
      </c>
      <c r="F29" s="26">
        <f t="shared" si="2"/>
        <v>4.3305092043612596</v>
      </c>
      <c r="G29" s="26">
        <f t="shared" si="5"/>
        <v>5</v>
      </c>
      <c r="H29" s="27">
        <f t="shared" si="6"/>
        <v>150</v>
      </c>
      <c r="I29" s="28">
        <v>23</v>
      </c>
      <c r="J29" s="26">
        <f t="shared" si="7"/>
        <v>4.8920408163265305</v>
      </c>
    </row>
    <row r="30" spans="1:10" x14ac:dyDescent="0.25">
      <c r="A30" s="32">
        <f t="shared" si="3"/>
        <v>25</v>
      </c>
      <c r="B30" s="33">
        <f t="shared" si="0"/>
        <v>298</v>
      </c>
      <c r="C30" s="34">
        <f t="shared" si="4"/>
        <v>1.1000000000000001</v>
      </c>
      <c r="D30" s="27">
        <f t="shared" si="4"/>
        <v>73</v>
      </c>
      <c r="E30" s="35">
        <f t="shared" si="1"/>
        <v>298.79179168679826</v>
      </c>
      <c r="F30" s="26">
        <f t="shared" si="2"/>
        <v>4.3009495297372808</v>
      </c>
      <c r="G30" s="26">
        <f t="shared" si="5"/>
        <v>5</v>
      </c>
      <c r="H30" s="27">
        <f t="shared" si="6"/>
        <v>150</v>
      </c>
      <c r="I30" s="28">
        <v>24</v>
      </c>
      <c r="J30" s="26">
        <f t="shared" si="7"/>
        <v>4.8824489795918371</v>
      </c>
    </row>
    <row r="31" spans="1:10" x14ac:dyDescent="0.25">
      <c r="A31" s="32">
        <f t="shared" si="3"/>
        <v>25</v>
      </c>
      <c r="B31" s="33">
        <f t="shared" si="0"/>
        <v>298</v>
      </c>
      <c r="C31" s="34">
        <f t="shared" si="4"/>
        <v>1.1000000000000001</v>
      </c>
      <c r="D31" s="27">
        <f t="shared" si="4"/>
        <v>73</v>
      </c>
      <c r="E31" s="35">
        <f t="shared" si="1"/>
        <v>298.78101917809823</v>
      </c>
      <c r="F31" s="26">
        <f t="shared" si="2"/>
        <v>4.2715916268502143</v>
      </c>
      <c r="G31" s="26">
        <f t="shared" si="5"/>
        <v>5</v>
      </c>
      <c r="H31" s="27">
        <f t="shared" si="6"/>
        <v>150</v>
      </c>
      <c r="I31" s="28">
        <v>25</v>
      </c>
      <c r="J31" s="26">
        <f t="shared" si="7"/>
        <v>4.8724489795918364</v>
      </c>
    </row>
    <row r="32" spans="1:10" x14ac:dyDescent="0.25">
      <c r="A32" s="32">
        <f t="shared" si="3"/>
        <v>25</v>
      </c>
      <c r="B32" s="33">
        <f t="shared" si="0"/>
        <v>298</v>
      </c>
      <c r="C32" s="34">
        <f t="shared" si="4"/>
        <v>1.1000000000000001</v>
      </c>
      <c r="D32" s="27">
        <f t="shared" si="4"/>
        <v>73</v>
      </c>
      <c r="E32" s="35">
        <f t="shared" si="1"/>
        <v>298.77039323186614</v>
      </c>
      <c r="F32" s="26">
        <f t="shared" si="2"/>
        <v>4.2424341184239909</v>
      </c>
      <c r="G32" s="26">
        <f t="shared" si="5"/>
        <v>5</v>
      </c>
      <c r="H32" s="27">
        <f t="shared" si="6"/>
        <v>150</v>
      </c>
      <c r="I32" s="28">
        <v>26</v>
      </c>
      <c r="J32" s="26">
        <f t="shared" si="7"/>
        <v>4.8620408163265303</v>
      </c>
    </row>
    <row r="33" spans="1:10" x14ac:dyDescent="0.25">
      <c r="A33" s="32">
        <f t="shared" si="3"/>
        <v>25</v>
      </c>
      <c r="B33" s="33">
        <f t="shared" si="0"/>
        <v>298</v>
      </c>
      <c r="C33" s="34">
        <f t="shared" si="4"/>
        <v>1.1000000000000001</v>
      </c>
      <c r="D33" s="27">
        <f t="shared" si="4"/>
        <v>73</v>
      </c>
      <c r="E33" s="35">
        <f t="shared" si="1"/>
        <v>298.75991185408571</v>
      </c>
      <c r="F33" s="26">
        <f t="shared" si="2"/>
        <v>4.2134756365835369</v>
      </c>
      <c r="G33" s="26">
        <f t="shared" si="5"/>
        <v>5</v>
      </c>
      <c r="H33" s="27">
        <f t="shared" si="6"/>
        <v>150</v>
      </c>
      <c r="I33" s="28">
        <v>27</v>
      </c>
      <c r="J33" s="26">
        <f t="shared" si="7"/>
        <v>4.8512244897959187</v>
      </c>
    </row>
    <row r="34" spans="1:10" x14ac:dyDescent="0.25">
      <c r="A34" s="32">
        <f t="shared" si="3"/>
        <v>25</v>
      </c>
      <c r="B34" s="33">
        <f t="shared" si="0"/>
        <v>298</v>
      </c>
      <c r="C34" s="34">
        <f t="shared" si="4"/>
        <v>1.1000000000000001</v>
      </c>
      <c r="D34" s="27">
        <f t="shared" si="4"/>
        <v>73</v>
      </c>
      <c r="E34" s="35">
        <f t="shared" si="1"/>
        <v>298.74957307786985</v>
      </c>
      <c r="F34" s="26">
        <f t="shared" si="2"/>
        <v>4.1847148227910349</v>
      </c>
      <c r="G34" s="26">
        <f t="shared" si="5"/>
        <v>5</v>
      </c>
      <c r="H34" s="27">
        <f t="shared" si="6"/>
        <v>150</v>
      </c>
      <c r="I34" s="28">
        <v>28</v>
      </c>
      <c r="J34" s="26">
        <f t="shared" si="7"/>
        <v>4.84</v>
      </c>
    </row>
    <row r="35" spans="1:10" x14ac:dyDescent="0.25">
      <c r="A35" s="32">
        <f t="shared" si="3"/>
        <v>25</v>
      </c>
      <c r="B35" s="33">
        <f t="shared" si="0"/>
        <v>298</v>
      </c>
      <c r="C35" s="34">
        <f t="shared" si="4"/>
        <v>1.1000000000000001</v>
      </c>
      <c r="D35" s="27">
        <f t="shared" si="4"/>
        <v>73</v>
      </c>
      <c r="E35" s="35">
        <f t="shared" si="1"/>
        <v>298.73937496309128</v>
      </c>
      <c r="F35" s="26">
        <f t="shared" si="2"/>
        <v>4.1561503277815985</v>
      </c>
      <c r="G35" s="26">
        <f t="shared" si="5"/>
        <v>5</v>
      </c>
      <c r="H35" s="27">
        <f t="shared" si="6"/>
        <v>150</v>
      </c>
      <c r="I35" s="28">
        <v>29</v>
      </c>
      <c r="J35" s="26">
        <f t="shared" si="7"/>
        <v>4.8283673469387756</v>
      </c>
    </row>
    <row r="36" spans="1:10" x14ac:dyDescent="0.25">
      <c r="A36" s="32">
        <f t="shared" si="3"/>
        <v>25</v>
      </c>
      <c r="B36" s="33">
        <f t="shared" si="0"/>
        <v>298</v>
      </c>
      <c r="C36" s="34">
        <f t="shared" si="4"/>
        <v>1.1000000000000001</v>
      </c>
      <c r="D36" s="27">
        <f t="shared" si="4"/>
        <v>73</v>
      </c>
      <c r="E36" s="35">
        <f t="shared" si="1"/>
        <v>298.72931559601875</v>
      </c>
      <c r="F36" s="26">
        <f t="shared" si="2"/>
        <v>4.127780811500747</v>
      </c>
      <c r="G36" s="26">
        <f t="shared" si="5"/>
        <v>5</v>
      </c>
      <c r="H36" s="27">
        <f t="shared" si="6"/>
        <v>150</v>
      </c>
      <c r="I36" s="28">
        <v>30</v>
      </c>
      <c r="J36" s="26">
        <f t="shared" si="7"/>
        <v>4.8163265306122449</v>
      </c>
    </row>
    <row r="37" spans="1:10" x14ac:dyDescent="0.25">
      <c r="A37" s="32">
        <f t="shared" si="3"/>
        <v>25</v>
      </c>
      <c r="B37" s="33">
        <f t="shared" si="0"/>
        <v>298</v>
      </c>
      <c r="C37" s="34">
        <f t="shared" si="4"/>
        <v>1.1000000000000001</v>
      </c>
      <c r="D37" s="27">
        <f t="shared" si="4"/>
        <v>73</v>
      </c>
      <c r="E37" s="35">
        <f t="shared" si="1"/>
        <v>298.71939308895764</v>
      </c>
      <c r="F37" s="26">
        <f t="shared" si="2"/>
        <v>4.0996049430407044</v>
      </c>
      <c r="G37" s="26">
        <f t="shared" si="5"/>
        <v>5</v>
      </c>
      <c r="H37" s="27">
        <f t="shared" si="6"/>
        <v>150</v>
      </c>
      <c r="I37" s="28">
        <v>31</v>
      </c>
      <c r="J37" s="26">
        <f t="shared" si="7"/>
        <v>4.8038775510204079</v>
      </c>
    </row>
    <row r="38" spans="1:10" x14ac:dyDescent="0.25">
      <c r="A38" s="32">
        <f t="shared" si="3"/>
        <v>25</v>
      </c>
      <c r="B38" s="33">
        <f t="shared" si="0"/>
        <v>298</v>
      </c>
      <c r="C38" s="34">
        <f t="shared" si="4"/>
        <v>1.1000000000000001</v>
      </c>
      <c r="D38" s="27">
        <f t="shared" si="4"/>
        <v>73</v>
      </c>
      <c r="E38" s="35">
        <f t="shared" si="1"/>
        <v>298.70960557989594</v>
      </c>
      <c r="F38" s="26">
        <f t="shared" si="2"/>
        <v>4.0716214005785636</v>
      </c>
      <c r="G38" s="26">
        <f t="shared" si="5"/>
        <v>5</v>
      </c>
      <c r="H38" s="27">
        <f t="shared" si="6"/>
        <v>150</v>
      </c>
      <c r="I38" s="28">
        <v>32</v>
      </c>
      <c r="J38" s="26">
        <f t="shared" si="7"/>
        <v>4.7910204081632655</v>
      </c>
    </row>
    <row r="39" spans="1:10" x14ac:dyDescent="0.25">
      <c r="A39" s="32">
        <f t="shared" si="3"/>
        <v>25</v>
      </c>
      <c r="B39" s="33">
        <f t="shared" si="0"/>
        <v>298</v>
      </c>
      <c r="C39" s="34">
        <f t="shared" si="4"/>
        <v>1.1000000000000001</v>
      </c>
      <c r="D39" s="27">
        <f t="shared" si="4"/>
        <v>73</v>
      </c>
      <c r="E39" s="35">
        <f t="shared" si="1"/>
        <v>298.6999512321546</v>
      </c>
      <c r="F39" s="26">
        <f t="shared" si="2"/>
        <v>4.0438288713137913</v>
      </c>
      <c r="G39" s="26">
        <f t="shared" si="5"/>
        <v>5</v>
      </c>
      <c r="H39" s="27">
        <f t="shared" si="6"/>
        <v>150</v>
      </c>
      <c r="I39" s="28">
        <v>33</v>
      </c>
      <c r="J39" s="26">
        <f t="shared" si="7"/>
        <v>4.7777551020408167</v>
      </c>
    </row>
    <row r="40" spans="1:10" x14ac:dyDescent="0.25">
      <c r="A40" s="32">
        <f t="shared" si="3"/>
        <v>25</v>
      </c>
      <c r="B40" s="33">
        <f t="shared" si="0"/>
        <v>298</v>
      </c>
      <c r="C40" s="34">
        <f t="shared" si="4"/>
        <v>1.1000000000000001</v>
      </c>
      <c r="D40" s="27">
        <f t="shared" si="4"/>
        <v>73</v>
      </c>
      <c r="E40" s="35">
        <f t="shared" si="1"/>
        <v>298.69042823404322</v>
      </c>
      <c r="F40" s="26">
        <f t="shared" si="2"/>
        <v>4.0162260514073562</v>
      </c>
      <c r="G40" s="26">
        <f t="shared" si="5"/>
        <v>5</v>
      </c>
      <c r="H40" s="27">
        <f t="shared" si="6"/>
        <v>150</v>
      </c>
      <c r="I40" s="28">
        <v>34</v>
      </c>
      <c r="J40" s="26">
        <f t="shared" si="7"/>
        <v>4.7640816326530615</v>
      </c>
    </row>
    <row r="41" spans="1:10" x14ac:dyDescent="0.25">
      <c r="A41" s="32">
        <f t="shared" si="3"/>
        <v>25</v>
      </c>
      <c r="B41" s="33">
        <f t="shared" si="0"/>
        <v>298</v>
      </c>
      <c r="C41" s="34">
        <f t="shared" si="4"/>
        <v>1.1000000000000001</v>
      </c>
      <c r="D41" s="27">
        <f t="shared" si="4"/>
        <v>73</v>
      </c>
      <c r="E41" s="35">
        <f t="shared" si="1"/>
        <v>298.68103479851976</v>
      </c>
      <c r="F41" s="26">
        <f t="shared" si="2"/>
        <v>3.9888116459198844</v>
      </c>
      <c r="G41" s="26">
        <f t="shared" si="5"/>
        <v>5</v>
      </c>
      <c r="H41" s="27">
        <f t="shared" si="6"/>
        <v>150</v>
      </c>
      <c r="I41" s="28">
        <v>35</v>
      </c>
      <c r="J41" s="26">
        <f t="shared" si="7"/>
        <v>4.75</v>
      </c>
    </row>
    <row r="42" spans="1:10" x14ac:dyDescent="0.25">
      <c r="A42" s="32">
        <f t="shared" si="3"/>
        <v>25</v>
      </c>
      <c r="B42" s="33">
        <f t="shared" si="0"/>
        <v>298</v>
      </c>
      <c r="C42" s="34">
        <f t="shared" si="4"/>
        <v>1.1000000000000001</v>
      </c>
      <c r="D42" s="27">
        <f t="shared" si="4"/>
        <v>73</v>
      </c>
      <c r="E42" s="35">
        <f t="shared" si="1"/>
        <v>298.67176916285524</v>
      </c>
      <c r="F42" s="26">
        <f t="shared" si="2"/>
        <v>3.9615843687509908</v>
      </c>
      <c r="G42" s="26">
        <f t="shared" si="5"/>
        <v>5</v>
      </c>
      <c r="H42" s="27">
        <f t="shared" si="6"/>
        <v>150</v>
      </c>
      <c r="I42" s="28">
        <v>36</v>
      </c>
      <c r="J42" s="26">
        <f t="shared" si="7"/>
        <v>4.735510204081633</v>
      </c>
    </row>
    <row r="43" spans="1:10" x14ac:dyDescent="0.25">
      <c r="A43" s="32">
        <f t="shared" si="3"/>
        <v>25</v>
      </c>
      <c r="B43" s="33">
        <f t="shared" si="0"/>
        <v>298</v>
      </c>
      <c r="C43" s="34">
        <f t="shared" si="4"/>
        <v>1.1000000000000001</v>
      </c>
      <c r="D43" s="27">
        <f t="shared" si="4"/>
        <v>73</v>
      </c>
      <c r="E43" s="35">
        <f t="shared" si="1"/>
        <v>298.66262958830305</v>
      </c>
      <c r="F43" s="26">
        <f t="shared" si="2"/>
        <v>3.9345429425791498</v>
      </c>
      <c r="G43" s="26">
        <f t="shared" si="5"/>
        <v>5</v>
      </c>
      <c r="H43" s="27">
        <f t="shared" si="6"/>
        <v>150</v>
      </c>
      <c r="I43" s="28">
        <v>37</v>
      </c>
      <c r="J43" s="26">
        <f t="shared" si="7"/>
        <v>4.7206122448979588</v>
      </c>
    </row>
    <row r="44" spans="1:10" x14ac:dyDescent="0.25">
      <c r="A44" s="32">
        <f t="shared" si="3"/>
        <v>25</v>
      </c>
      <c r="B44" s="33">
        <f t="shared" si="0"/>
        <v>298</v>
      </c>
      <c r="C44" s="34">
        <f t="shared" si="4"/>
        <v>1.1000000000000001</v>
      </c>
      <c r="D44" s="27">
        <f t="shared" si="4"/>
        <v>73</v>
      </c>
      <c r="E44" s="35">
        <f t="shared" si="1"/>
        <v>298.65361435977275</v>
      </c>
      <c r="F44" s="26">
        <f t="shared" si="2"/>
        <v>3.9076860988021203</v>
      </c>
      <c r="G44" s="26">
        <f t="shared" si="5"/>
        <v>5</v>
      </c>
      <c r="H44" s="27">
        <f t="shared" si="6"/>
        <v>150</v>
      </c>
      <c r="I44" s="28">
        <v>38</v>
      </c>
      <c r="J44" s="26">
        <f t="shared" si="7"/>
        <v>4.7053061224489792</v>
      </c>
    </row>
    <row r="45" spans="1:10" x14ac:dyDescent="0.25">
      <c r="A45" s="32">
        <f t="shared" si="3"/>
        <v>25</v>
      </c>
      <c r="B45" s="33">
        <f t="shared" si="0"/>
        <v>298</v>
      </c>
      <c r="C45" s="34">
        <f t="shared" si="4"/>
        <v>1.1000000000000001</v>
      </c>
      <c r="D45" s="27">
        <f t="shared" si="4"/>
        <v>73</v>
      </c>
      <c r="E45" s="35">
        <f t="shared" si="1"/>
        <v>298.6447217855079</v>
      </c>
      <c r="F45" s="26">
        <f t="shared" si="2"/>
        <v>3.881012577476417</v>
      </c>
      <c r="G45" s="26">
        <f t="shared" si="5"/>
        <v>5</v>
      </c>
      <c r="H45" s="27">
        <f t="shared" si="6"/>
        <v>150</v>
      </c>
      <c r="I45" s="28">
        <v>39</v>
      </c>
      <c r="J45" s="26">
        <f t="shared" si="7"/>
        <v>4.689591836734694</v>
      </c>
    </row>
    <row r="46" spans="1:10" x14ac:dyDescent="0.25">
      <c r="A46" s="32">
        <f t="shared" si="3"/>
        <v>25</v>
      </c>
      <c r="B46" s="33">
        <f t="shared" si="0"/>
        <v>298</v>
      </c>
      <c r="C46" s="34">
        <f t="shared" si="4"/>
        <v>1.1000000000000001</v>
      </c>
      <c r="D46" s="27">
        <f t="shared" si="4"/>
        <v>73</v>
      </c>
      <c r="E46" s="35">
        <f t="shared" si="1"/>
        <v>298.63595019676899</v>
      </c>
      <c r="F46" s="26">
        <f t="shared" si="2"/>
        <v>3.8545211272593787</v>
      </c>
      <c r="G46" s="26">
        <f t="shared" si="5"/>
        <v>5</v>
      </c>
      <c r="H46" s="27">
        <f t="shared" si="6"/>
        <v>150</v>
      </c>
      <c r="I46" s="28">
        <v>40</v>
      </c>
      <c r="J46" s="26">
        <f t="shared" si="7"/>
        <v>4.6734693877551017</v>
      </c>
    </row>
    <row r="47" spans="1:10" x14ac:dyDescent="0.25">
      <c r="A47" s="32">
        <f t="shared" si="3"/>
        <v>25</v>
      </c>
      <c r="B47" s="33">
        <f t="shared" si="0"/>
        <v>298</v>
      </c>
      <c r="C47" s="34">
        <f t="shared" si="4"/>
        <v>1.1000000000000001</v>
      </c>
      <c r="D47" s="27">
        <f t="shared" si="4"/>
        <v>73</v>
      </c>
      <c r="E47" s="35">
        <f t="shared" si="1"/>
        <v>298.62729794751999</v>
      </c>
      <c r="F47" s="26">
        <f t="shared" si="2"/>
        <v>3.8282105053496047</v>
      </c>
      <c r="G47" s="26">
        <f t="shared" si="5"/>
        <v>5</v>
      </c>
      <c r="H47" s="27">
        <f t="shared" si="6"/>
        <v>150</v>
      </c>
      <c r="I47" s="28">
        <v>41</v>
      </c>
      <c r="J47" s="26">
        <f t="shared" si="7"/>
        <v>4.6569387755102039</v>
      </c>
    </row>
    <row r="48" spans="1:10" x14ac:dyDescent="0.25">
      <c r="A48" s="32">
        <f t="shared" si="3"/>
        <v>25</v>
      </c>
      <c r="B48" s="33">
        <f t="shared" si="0"/>
        <v>298</v>
      </c>
      <c r="C48" s="34">
        <f t="shared" si="4"/>
        <v>1.1000000000000001</v>
      </c>
      <c r="D48" s="27">
        <f t="shared" si="4"/>
        <v>73</v>
      </c>
      <c r="E48" s="35">
        <f t="shared" si="1"/>
        <v>298.61876341411954</v>
      </c>
      <c r="F48" s="26">
        <f t="shared" si="2"/>
        <v>3.8020794774288187</v>
      </c>
      <c r="G48" s="26">
        <f t="shared" si="5"/>
        <v>5</v>
      </c>
      <c r="H48" s="27">
        <f t="shared" si="6"/>
        <v>150</v>
      </c>
      <c r="I48" s="28">
        <v>42</v>
      </c>
      <c r="J48" s="26">
        <f t="shared" si="7"/>
        <v>4.6399999999999997</v>
      </c>
    </row>
    <row r="49" spans="1:10" x14ac:dyDescent="0.25">
      <c r="A49" s="32">
        <f t="shared" si="3"/>
        <v>25</v>
      </c>
      <c r="B49" s="33">
        <f t="shared" si="0"/>
        <v>298</v>
      </c>
      <c r="C49" s="34">
        <f t="shared" si="4"/>
        <v>1.1000000000000001</v>
      </c>
      <c r="D49" s="27">
        <f t="shared" si="4"/>
        <v>73</v>
      </c>
      <c r="E49" s="35">
        <f t="shared" si="1"/>
        <v>298.61034499501642</v>
      </c>
      <c r="F49" s="26">
        <f t="shared" si="2"/>
        <v>3.7761268176045033</v>
      </c>
      <c r="G49" s="26">
        <f t="shared" si="5"/>
        <v>5</v>
      </c>
      <c r="H49" s="27">
        <f t="shared" si="6"/>
        <v>150</v>
      </c>
      <c r="I49" s="28">
        <v>43</v>
      </c>
      <c r="J49" s="26">
        <f t="shared" si="7"/>
        <v>4.62265306122449</v>
      </c>
    </row>
    <row r="50" spans="1:10" x14ac:dyDescent="0.25">
      <c r="A50" s="32">
        <f t="shared" si="3"/>
        <v>25</v>
      </c>
      <c r="B50" s="33">
        <f t="shared" si="0"/>
        <v>298</v>
      </c>
      <c r="C50" s="34">
        <f t="shared" si="4"/>
        <v>1.1000000000000001</v>
      </c>
      <c r="D50" s="27">
        <f t="shared" si="4"/>
        <v>73</v>
      </c>
      <c r="E50" s="35">
        <f t="shared" si="1"/>
        <v>298.60204111044868</v>
      </c>
      <c r="F50" s="26">
        <f t="shared" si="2"/>
        <v>3.7503513083513584</v>
      </c>
      <c r="G50" s="26">
        <f t="shared" si="5"/>
        <v>5</v>
      </c>
      <c r="H50" s="27">
        <f t="shared" si="6"/>
        <v>150</v>
      </c>
      <c r="I50" s="28">
        <v>44</v>
      </c>
      <c r="J50" s="26">
        <f t="shared" si="7"/>
        <v>4.6048979591836732</v>
      </c>
    </row>
    <row r="51" spans="1:10" x14ac:dyDescent="0.25">
      <c r="A51" s="32">
        <f t="shared" si="3"/>
        <v>25</v>
      </c>
      <c r="B51" s="33">
        <f t="shared" si="0"/>
        <v>298</v>
      </c>
      <c r="C51" s="34">
        <f t="shared" si="4"/>
        <v>1.1000000000000001</v>
      </c>
      <c r="D51" s="27">
        <f t="shared" si="4"/>
        <v>73</v>
      </c>
      <c r="E51" s="35">
        <f t="shared" si="1"/>
        <v>298.59385020214768</v>
      </c>
      <c r="F51" s="26">
        <f t="shared" si="2"/>
        <v>3.7247517404556372</v>
      </c>
      <c r="G51" s="26">
        <f t="shared" si="5"/>
        <v>5</v>
      </c>
      <c r="H51" s="27">
        <f t="shared" si="6"/>
        <v>150</v>
      </c>
      <c r="I51" s="28">
        <v>45</v>
      </c>
      <c r="J51" s="26">
        <f t="shared" si="7"/>
        <v>4.5867346938775508</v>
      </c>
    </row>
    <row r="52" spans="1:10" x14ac:dyDescent="0.25">
      <c r="A52" s="32">
        <f t="shared" si="3"/>
        <v>25</v>
      </c>
      <c r="B52" s="33">
        <f t="shared" si="0"/>
        <v>298</v>
      </c>
      <c r="C52" s="34">
        <f t="shared" si="4"/>
        <v>1.1000000000000001</v>
      </c>
      <c r="D52" s="27">
        <f t="shared" si="4"/>
        <v>73</v>
      </c>
      <c r="E52" s="35">
        <f t="shared" si="1"/>
        <v>298.58577073304508</v>
      </c>
      <c r="F52" s="26">
        <f t="shared" si="2"/>
        <v>3.6993269129566908</v>
      </c>
      <c r="G52" s="26">
        <f t="shared" si="5"/>
        <v>5</v>
      </c>
      <c r="H52" s="27">
        <f t="shared" si="6"/>
        <v>150</v>
      </c>
      <c r="I52" s="28">
        <v>46</v>
      </c>
      <c r="J52" s="26">
        <f t="shared" si="7"/>
        <v>4.5681632653061222</v>
      </c>
    </row>
    <row r="53" spans="1:10" x14ac:dyDescent="0.25">
      <c r="A53" s="32">
        <f t="shared" si="3"/>
        <v>25</v>
      </c>
      <c r="B53" s="33">
        <f t="shared" si="0"/>
        <v>298</v>
      </c>
      <c r="C53" s="34">
        <f t="shared" si="4"/>
        <v>1.1000000000000001</v>
      </c>
      <c r="D53" s="27">
        <f t="shared" si="4"/>
        <v>73</v>
      </c>
      <c r="E53" s="35">
        <f t="shared" si="1"/>
        <v>298.57780118698497</v>
      </c>
      <c r="F53" s="26">
        <f t="shared" si="2"/>
        <v>3.6740756330922801</v>
      </c>
      <c r="G53" s="26">
        <f t="shared" si="5"/>
        <v>5</v>
      </c>
      <c r="H53" s="27">
        <f t="shared" si="6"/>
        <v>150</v>
      </c>
      <c r="I53" s="28">
        <v>47</v>
      </c>
      <c r="J53" s="26">
        <f t="shared" si="7"/>
        <v>4.549183673469388</v>
      </c>
    </row>
    <row r="54" spans="1:10" x14ac:dyDescent="0.25">
      <c r="A54" s="32">
        <f t="shared" si="3"/>
        <v>25</v>
      </c>
      <c r="B54" s="33">
        <f t="shared" si="0"/>
        <v>298</v>
      </c>
      <c r="C54" s="34">
        <f t="shared" si="4"/>
        <v>1.1000000000000001</v>
      </c>
      <c r="D54" s="27">
        <f t="shared" si="4"/>
        <v>73</v>
      </c>
      <c r="E54" s="35">
        <f t="shared" si="1"/>
        <v>298.56994006843894</v>
      </c>
      <c r="F54" s="26">
        <f t="shared" si="2"/>
        <v>3.6489967162414083</v>
      </c>
      <c r="G54" s="26">
        <f t="shared" si="5"/>
        <v>5</v>
      </c>
      <c r="H54" s="27">
        <f t="shared" si="6"/>
        <v>150</v>
      </c>
      <c r="I54" s="28">
        <v>48</v>
      </c>
      <c r="J54" s="26">
        <f t="shared" si="7"/>
        <v>4.5297959183673466</v>
      </c>
    </row>
    <row r="55" spans="1:10" x14ac:dyDescent="0.25">
      <c r="A55" s="32">
        <f t="shared" si="3"/>
        <v>25</v>
      </c>
      <c r="B55" s="33">
        <f t="shared" si="0"/>
        <v>298</v>
      </c>
      <c r="C55" s="34">
        <f t="shared" si="4"/>
        <v>1.1000000000000001</v>
      </c>
      <c r="D55" s="27">
        <f t="shared" si="4"/>
        <v>73</v>
      </c>
      <c r="E55" s="35">
        <f t="shared" si="1"/>
        <v>298.56218590222562</v>
      </c>
      <c r="F55" s="26">
        <f t="shared" si="2"/>
        <v>3.6240889858693115</v>
      </c>
      <c r="G55" s="26">
        <f t="shared" si="5"/>
        <v>5</v>
      </c>
      <c r="H55" s="27">
        <f t="shared" si="6"/>
        <v>150</v>
      </c>
      <c r="I55" s="28">
        <v>49</v>
      </c>
      <c r="J55" s="26">
        <f t="shared" si="7"/>
        <v>4.51</v>
      </c>
    </row>
    <row r="56" spans="1:10" x14ac:dyDescent="0.25">
      <c r="A56" s="32">
        <f t="shared" si="3"/>
        <v>25</v>
      </c>
      <c r="B56" s="33">
        <f t="shared" si="0"/>
        <v>298</v>
      </c>
      <c r="C56" s="34">
        <f t="shared" si="4"/>
        <v>1.1000000000000001</v>
      </c>
      <c r="D56" s="27">
        <f t="shared" si="4"/>
        <v>73</v>
      </c>
      <c r="E56" s="35">
        <f t="shared" si="1"/>
        <v>298.55453723323387</v>
      </c>
      <c r="F56" s="26">
        <f t="shared" si="2"/>
        <v>3.5993512734722617</v>
      </c>
      <c r="G56" s="26">
        <f t="shared" si="5"/>
        <v>5</v>
      </c>
      <c r="H56" s="27">
        <f t="shared" si="6"/>
        <v>150</v>
      </c>
      <c r="I56" s="29">
        <v>50</v>
      </c>
      <c r="J56" s="30">
        <f t="shared" si="7"/>
        <v>4.4897959183673466</v>
      </c>
    </row>
    <row r="57" spans="1:10" x14ac:dyDescent="0.25">
      <c r="A57" s="32">
        <f t="shared" si="3"/>
        <v>25</v>
      </c>
      <c r="B57" s="33">
        <f t="shared" si="0"/>
        <v>298</v>
      </c>
      <c r="C57" s="34">
        <f t="shared" si="4"/>
        <v>1.1000000000000001</v>
      </c>
      <c r="D57" s="27">
        <f t="shared" si="4"/>
        <v>73</v>
      </c>
      <c r="E57" s="35">
        <f t="shared" si="1"/>
        <v>298.54699262614957</v>
      </c>
      <c r="F57" s="26">
        <f t="shared" si="2"/>
        <v>3.5747824185223216</v>
      </c>
      <c r="G57" s="26">
        <f t="shared" si="5"/>
        <v>5</v>
      </c>
      <c r="H57" s="27">
        <f t="shared" si="6"/>
        <v>150</v>
      </c>
      <c r="I57" s="28">
        <v>51</v>
      </c>
      <c r="J57" s="26">
        <f t="shared" si="7"/>
        <v>4.4691836734693879</v>
      </c>
    </row>
    <row r="58" spans="1:10" x14ac:dyDescent="0.25">
      <c r="A58" s="32">
        <f t="shared" si="3"/>
        <v>25</v>
      </c>
      <c r="B58" s="33">
        <f t="shared" si="0"/>
        <v>298</v>
      </c>
      <c r="C58" s="34">
        <f t="shared" si="4"/>
        <v>1.1000000000000001</v>
      </c>
      <c r="D58" s="27">
        <f t="shared" si="4"/>
        <v>73</v>
      </c>
      <c r="E58" s="35">
        <f t="shared" si="1"/>
        <v>298.53955066518648</v>
      </c>
      <c r="F58" s="26">
        <f t="shared" si="2"/>
        <v>3.5503812684135263</v>
      </c>
      <c r="G58" s="26">
        <f t="shared" si="5"/>
        <v>5</v>
      </c>
      <c r="H58" s="27">
        <f t="shared" si="6"/>
        <v>150</v>
      </c>
      <c r="I58" s="28">
        <v>52</v>
      </c>
      <c r="J58" s="26">
        <f t="shared" si="7"/>
        <v>4.448163265306122</v>
      </c>
    </row>
    <row r="59" spans="1:10" x14ac:dyDescent="0.25">
      <c r="A59" s="32">
        <f t="shared" si="3"/>
        <v>25</v>
      </c>
      <c r="B59" s="33">
        <f t="shared" si="0"/>
        <v>298</v>
      </c>
      <c r="C59" s="34">
        <f t="shared" si="4"/>
        <v>1.1000000000000001</v>
      </c>
      <c r="D59" s="27">
        <f t="shared" si="4"/>
        <v>73</v>
      </c>
      <c r="E59" s="35">
        <f t="shared" si="1"/>
        <v>298.53220995382043</v>
      </c>
      <c r="F59" s="26">
        <f t="shared" si="2"/>
        <v>3.5261466784074185</v>
      </c>
      <c r="G59" s="26">
        <f t="shared" si="5"/>
        <v>5</v>
      </c>
      <c r="H59" s="27">
        <f t="shared" si="6"/>
        <v>150</v>
      </c>
      <c r="I59" s="28">
        <v>53</v>
      </c>
      <c r="J59" s="26">
        <f t="shared" si="7"/>
        <v>4.4267346938775507</v>
      </c>
    </row>
    <row r="60" spans="1:10" x14ac:dyDescent="0.25">
      <c r="A60" s="32">
        <f t="shared" si="3"/>
        <v>25</v>
      </c>
      <c r="B60" s="33">
        <f t="shared" si="0"/>
        <v>298</v>
      </c>
      <c r="C60" s="34">
        <f t="shared" si="4"/>
        <v>1.1000000000000001</v>
      </c>
      <c r="D60" s="27">
        <f t="shared" si="4"/>
        <v>73</v>
      </c>
      <c r="E60" s="35">
        <f t="shared" si="1"/>
        <v>298.52496911452727</v>
      </c>
      <c r="F60" s="26">
        <f t="shared" si="2"/>
        <v>3.5020775115794001</v>
      </c>
      <c r="G60" s="26">
        <f t="shared" si="5"/>
        <v>5</v>
      </c>
      <c r="H60" s="27">
        <f t="shared" si="6"/>
        <v>150</v>
      </c>
      <c r="I60" s="28">
        <v>54</v>
      </c>
      <c r="J60" s="26">
        <f t="shared" si="7"/>
        <v>4.404897959183673</v>
      </c>
    </row>
    <row r="61" spans="1:10" x14ac:dyDescent="0.25">
      <c r="A61" s="32">
        <f t="shared" si="3"/>
        <v>25</v>
      </c>
      <c r="B61" s="33">
        <f t="shared" si="0"/>
        <v>298</v>
      </c>
      <c r="C61" s="34">
        <f t="shared" si="4"/>
        <v>1.1000000000000001</v>
      </c>
      <c r="D61" s="27">
        <f t="shared" si="4"/>
        <v>73</v>
      </c>
      <c r="E61" s="35">
        <f t="shared" si="1"/>
        <v>298.51782678852436</v>
      </c>
      <c r="F61" s="26">
        <f t="shared" si="2"/>
        <v>3.4781726387653169</v>
      </c>
      <c r="G61" s="26">
        <f t="shared" si="5"/>
        <v>5</v>
      </c>
      <c r="H61" s="27">
        <f t="shared" si="6"/>
        <v>150</v>
      </c>
      <c r="I61" s="29">
        <v>55</v>
      </c>
      <c r="J61" s="30">
        <f t="shared" si="7"/>
        <v>4.3826530612244898</v>
      </c>
    </row>
    <row r="62" spans="1:10" x14ac:dyDescent="0.25">
      <c r="A62" s="32">
        <f t="shared" si="3"/>
        <v>25</v>
      </c>
      <c r="B62" s="33">
        <f t="shared" si="0"/>
        <v>298</v>
      </c>
      <c r="C62" s="34">
        <f t="shared" si="4"/>
        <v>1.1000000000000001</v>
      </c>
      <c r="D62" s="27">
        <f t="shared" si="4"/>
        <v>73</v>
      </c>
      <c r="E62" s="35">
        <f t="shared" si="1"/>
        <v>298.51078163551568</v>
      </c>
      <c r="F62" s="26">
        <f t="shared" si="2"/>
        <v>3.4544309385088048</v>
      </c>
      <c r="G62" s="26">
        <f t="shared" si="5"/>
        <v>5</v>
      </c>
      <c r="H62" s="27">
        <f t="shared" si="6"/>
        <v>150</v>
      </c>
      <c r="I62" s="28">
        <v>56</v>
      </c>
      <c r="J62" s="26">
        <f t="shared" si="7"/>
        <v>4.3599999999999994</v>
      </c>
    </row>
    <row r="63" spans="1:10" x14ac:dyDescent="0.25">
      <c r="A63" s="32">
        <f t="shared" si="3"/>
        <v>25</v>
      </c>
      <c r="B63" s="33">
        <f t="shared" si="0"/>
        <v>298</v>
      </c>
      <c r="C63" s="34">
        <f t="shared" si="4"/>
        <v>1.1000000000000001</v>
      </c>
      <c r="D63" s="27">
        <f t="shared" si="4"/>
        <v>73</v>
      </c>
      <c r="E63" s="35">
        <f t="shared" si="1"/>
        <v>298.50383233344019</v>
      </c>
      <c r="F63" s="26">
        <f t="shared" si="2"/>
        <v>3.4308512970082443</v>
      </c>
      <c r="G63" s="26">
        <f t="shared" si="5"/>
        <v>5</v>
      </c>
      <c r="H63" s="27">
        <f t="shared" si="6"/>
        <v>150</v>
      </c>
      <c r="I63" s="28">
        <v>57</v>
      </c>
      <c r="J63" s="26">
        <f t="shared" si="7"/>
        <v>4.3369387755102045</v>
      </c>
    </row>
    <row r="64" spans="1:10" x14ac:dyDescent="0.25">
      <c r="A64" s="32">
        <f t="shared" si="3"/>
        <v>25</v>
      </c>
      <c r="B64" s="33">
        <f t="shared" si="0"/>
        <v>298</v>
      </c>
      <c r="C64" s="34">
        <f t="shared" si="4"/>
        <v>1.1000000000000001</v>
      </c>
      <c r="D64" s="27">
        <f t="shared" si="4"/>
        <v>73</v>
      </c>
      <c r="E64" s="35">
        <f t="shared" si="1"/>
        <v>298.49697757822389</v>
      </c>
      <c r="F64" s="26">
        <f t="shared" si="2"/>
        <v>3.4074326080651707</v>
      </c>
      <c r="G64" s="26">
        <f t="shared" si="5"/>
        <v>5</v>
      </c>
      <c r="H64" s="27">
        <f t="shared" si="6"/>
        <v>150</v>
      </c>
      <c r="I64" s="28">
        <v>58</v>
      </c>
      <c r="J64" s="26">
        <f t="shared" si="7"/>
        <v>4.3134693877551022</v>
      </c>
    </row>
    <row r="65" spans="1:10" x14ac:dyDescent="0.25">
      <c r="A65" s="32">
        <f t="shared" si="3"/>
        <v>25</v>
      </c>
      <c r="B65" s="33">
        <f t="shared" si="0"/>
        <v>298</v>
      </c>
      <c r="C65" s="34">
        <f t="shared" si="4"/>
        <v>1.1000000000000001</v>
      </c>
      <c r="D65" s="27">
        <f t="shared" si="4"/>
        <v>73</v>
      </c>
      <c r="E65" s="35">
        <f t="shared" si="1"/>
        <v>298.49021608353479</v>
      </c>
      <c r="F65" s="26">
        <f t="shared" si="2"/>
        <v>3.3841737730310433</v>
      </c>
      <c r="G65" s="26">
        <f t="shared" si="5"/>
        <v>5</v>
      </c>
      <c r="H65" s="27">
        <f t="shared" si="6"/>
        <v>150</v>
      </c>
      <c r="I65" s="28">
        <v>59</v>
      </c>
      <c r="J65" s="26">
        <f t="shared" si="7"/>
        <v>4.2895918367346937</v>
      </c>
    </row>
    <row r="66" spans="1:10" x14ac:dyDescent="0.25">
      <c r="A66" s="32">
        <f t="shared" si="3"/>
        <v>25</v>
      </c>
      <c r="B66" s="33">
        <f t="shared" si="0"/>
        <v>298</v>
      </c>
      <c r="C66" s="34">
        <f t="shared" si="4"/>
        <v>1.1000000000000001</v>
      </c>
      <c r="D66" s="27">
        <f t="shared" si="4"/>
        <v>73</v>
      </c>
      <c r="E66" s="35">
        <f t="shared" si="1"/>
        <v>298.483546580542</v>
      </c>
      <c r="F66" s="26">
        <f t="shared" si="2"/>
        <v>3.3610737007575584</v>
      </c>
      <c r="G66" s="26">
        <f t="shared" si="5"/>
        <v>5</v>
      </c>
      <c r="H66" s="27">
        <f t="shared" si="6"/>
        <v>150</v>
      </c>
      <c r="I66" s="29">
        <v>60</v>
      </c>
      <c r="J66" s="30">
        <f t="shared" si="7"/>
        <v>4.2653061224489797</v>
      </c>
    </row>
    <row r="67" spans="1:10" x14ac:dyDescent="0.25">
      <c r="A67" s="32">
        <f t="shared" si="3"/>
        <v>25</v>
      </c>
      <c r="B67" s="33">
        <f t="shared" si="0"/>
        <v>298</v>
      </c>
      <c r="C67" s="34">
        <f t="shared" si="4"/>
        <v>1.1000000000000001</v>
      </c>
      <c r="D67" s="27">
        <f t="shared" si="4"/>
        <v>73</v>
      </c>
      <c r="E67" s="35">
        <f t="shared" si="1"/>
        <v>298.47696781767718</v>
      </c>
      <c r="F67" s="26">
        <f t="shared" si="2"/>
        <v>3.3381313075438479</v>
      </c>
      <c r="G67" s="26">
        <f t="shared" si="5"/>
        <v>5</v>
      </c>
      <c r="H67" s="27">
        <f t="shared" si="6"/>
        <v>150</v>
      </c>
      <c r="I67" s="28">
        <v>61</v>
      </c>
      <c r="J67" s="26">
        <f t="shared" si="7"/>
        <v>4.2406122448979593</v>
      </c>
    </row>
    <row r="68" spans="1:10" x14ac:dyDescent="0.25">
      <c r="A68" s="32">
        <f t="shared" si="3"/>
        <v>25</v>
      </c>
      <c r="B68" s="33">
        <f t="shared" si="0"/>
        <v>298</v>
      </c>
      <c r="C68" s="34">
        <f t="shared" si="4"/>
        <v>1.1000000000000001</v>
      </c>
      <c r="D68" s="27">
        <f t="shared" si="4"/>
        <v>73</v>
      </c>
      <c r="E68" s="35">
        <f t="shared" si="1"/>
        <v>298.47047856040001</v>
      </c>
      <c r="F68" s="26">
        <f t="shared" si="2"/>
        <v>3.3153455170867741</v>
      </c>
      <c r="G68" s="26">
        <f t="shared" si="5"/>
        <v>5</v>
      </c>
      <c r="H68" s="27">
        <f t="shared" si="6"/>
        <v>150</v>
      </c>
      <c r="I68" s="28">
        <v>62</v>
      </c>
      <c r="J68" s="26">
        <f t="shared" si="7"/>
        <v>4.2155102040816326</v>
      </c>
    </row>
    <row r="69" spans="1:10" x14ac:dyDescent="0.25">
      <c r="A69" s="32">
        <f t="shared" si="3"/>
        <v>25</v>
      </c>
      <c r="B69" s="33">
        <f t="shared" si="0"/>
        <v>298</v>
      </c>
      <c r="C69" s="34">
        <f t="shared" si="4"/>
        <v>1.1000000000000001</v>
      </c>
      <c r="D69" s="27">
        <f t="shared" si="4"/>
        <v>73</v>
      </c>
      <c r="E69" s="35">
        <f t="shared" si="1"/>
        <v>298.46407759096627</v>
      </c>
      <c r="F69" s="26">
        <f t="shared" si="2"/>
        <v>3.2927152604295533</v>
      </c>
      <c r="G69" s="26">
        <f t="shared" si="5"/>
        <v>5</v>
      </c>
      <c r="H69" s="27">
        <f t="shared" si="6"/>
        <v>150</v>
      </c>
      <c r="I69" s="29">
        <v>63</v>
      </c>
      <c r="J69" s="30">
        <f t="shared" si="7"/>
        <v>4.1899999999999995</v>
      </c>
    </row>
    <row r="70" spans="1:10" x14ac:dyDescent="0.25">
      <c r="A70" s="32">
        <f t="shared" si="3"/>
        <v>25</v>
      </c>
      <c r="B70" s="33">
        <f t="shared" ref="B70:B133" si="8">A70+273</f>
        <v>298</v>
      </c>
      <c r="C70" s="34">
        <f t="shared" si="4"/>
        <v>1.1000000000000001</v>
      </c>
      <c r="D70" s="27">
        <f t="shared" si="4"/>
        <v>73</v>
      </c>
      <c r="E70" s="35">
        <f t="shared" si="1"/>
        <v>298.45776370819948</v>
      </c>
      <c r="F70" s="26">
        <f t="shared" si="2"/>
        <v>3.270239475912228</v>
      </c>
      <c r="G70" s="26">
        <f t="shared" si="5"/>
        <v>5</v>
      </c>
      <c r="H70" s="27">
        <f t="shared" si="6"/>
        <v>150</v>
      </c>
      <c r="I70" s="28">
        <v>64</v>
      </c>
      <c r="J70" s="26">
        <f t="shared" si="7"/>
        <v>4.164081632653061</v>
      </c>
    </row>
    <row r="71" spans="1:10" x14ac:dyDescent="0.25">
      <c r="A71" s="32">
        <f t="shared" ref="A71:A134" si="9">A70</f>
        <v>25</v>
      </c>
      <c r="B71" s="33">
        <f t="shared" si="8"/>
        <v>298</v>
      </c>
      <c r="C71" s="34">
        <f t="shared" ref="C71:D134" si="10">C70</f>
        <v>1.1000000000000001</v>
      </c>
      <c r="D71" s="27">
        <f t="shared" si="10"/>
        <v>73</v>
      </c>
      <c r="E71" s="35">
        <f t="shared" ref="E71:E134" si="11">C71*EXP(-I71/D71)+B71</f>
        <v>298.45153572726542</v>
      </c>
      <c r="F71" s="26">
        <f t="shared" ref="F71:F134" si="12">11.8*SQRT((50*(E71-B71)/B71))</f>
        <v>3.2479171091215382</v>
      </c>
      <c r="G71" s="26">
        <f t="shared" ref="G71:G134" si="13">G70</f>
        <v>5</v>
      </c>
      <c r="H71" s="27">
        <f t="shared" ref="H71:H134" si="14">H70</f>
        <v>150</v>
      </c>
      <c r="I71" s="28">
        <v>65</v>
      </c>
      <c r="J71" s="26">
        <f t="shared" ref="J71:J106" si="15">5-POWER(I71/70,2)</f>
        <v>4.1377551020408161</v>
      </c>
    </row>
    <row r="72" spans="1:10" x14ac:dyDescent="0.25">
      <c r="A72" s="32">
        <f t="shared" si="9"/>
        <v>25</v>
      </c>
      <c r="B72" s="33">
        <f t="shared" si="8"/>
        <v>298</v>
      </c>
      <c r="C72" s="34">
        <f t="shared" si="10"/>
        <v>1.1000000000000001</v>
      </c>
      <c r="D72" s="27">
        <f t="shared" si="10"/>
        <v>73</v>
      </c>
      <c r="E72" s="35">
        <f t="shared" si="11"/>
        <v>298.44539247944982</v>
      </c>
      <c r="F72" s="26">
        <f t="shared" si="12"/>
        <v>3.2257471128415474</v>
      </c>
      <c r="G72" s="26">
        <f t="shared" si="13"/>
        <v>5</v>
      </c>
      <c r="H72" s="27">
        <f t="shared" si="14"/>
        <v>150</v>
      </c>
      <c r="I72" s="29">
        <v>66</v>
      </c>
      <c r="J72" s="30">
        <f t="shared" si="15"/>
        <v>4.1110204081632649</v>
      </c>
    </row>
    <row r="73" spans="1:10" x14ac:dyDescent="0.25">
      <c r="A73" s="32">
        <f t="shared" si="9"/>
        <v>25</v>
      </c>
      <c r="B73" s="33">
        <f t="shared" si="8"/>
        <v>298</v>
      </c>
      <c r="C73" s="34">
        <f t="shared" si="10"/>
        <v>1.1000000000000001</v>
      </c>
      <c r="D73" s="27">
        <f t="shared" si="10"/>
        <v>73</v>
      </c>
      <c r="E73" s="35">
        <f t="shared" si="11"/>
        <v>298.43933281193898</v>
      </c>
      <c r="F73" s="26">
        <f t="shared" si="12"/>
        <v>3.203728447004357</v>
      </c>
      <c r="G73" s="26">
        <f t="shared" si="13"/>
        <v>5</v>
      </c>
      <c r="H73" s="27">
        <f t="shared" si="14"/>
        <v>150</v>
      </c>
      <c r="I73" s="29">
        <v>67</v>
      </c>
      <c r="J73" s="30">
        <f t="shared" si="15"/>
        <v>4.0838775510204082</v>
      </c>
    </row>
    <row r="74" spans="1:10" x14ac:dyDescent="0.25">
      <c r="A74" s="32">
        <f t="shared" si="9"/>
        <v>25</v>
      </c>
      <c r="B74" s="33">
        <f t="shared" si="8"/>
        <v>298</v>
      </c>
      <c r="C74" s="34">
        <f t="shared" si="10"/>
        <v>1.1000000000000001</v>
      </c>
      <c r="D74" s="27">
        <f t="shared" si="10"/>
        <v>73</v>
      </c>
      <c r="E74" s="35">
        <f t="shared" si="11"/>
        <v>298.43335558760373</v>
      </c>
      <c r="F74" s="26">
        <f t="shared" si="12"/>
        <v>3.1818600786422975</v>
      </c>
      <c r="G74" s="26">
        <f t="shared" si="13"/>
        <v>5</v>
      </c>
      <c r="H74" s="27">
        <f t="shared" si="14"/>
        <v>150</v>
      </c>
      <c r="I74" s="28">
        <v>68</v>
      </c>
      <c r="J74" s="26">
        <f t="shared" si="15"/>
        <v>4.0563265306122451</v>
      </c>
    </row>
    <row r="75" spans="1:10" x14ac:dyDescent="0.25">
      <c r="A75" s="32">
        <f t="shared" si="9"/>
        <v>25</v>
      </c>
      <c r="B75" s="33">
        <f t="shared" si="8"/>
        <v>298</v>
      </c>
      <c r="C75" s="34">
        <f t="shared" si="10"/>
        <v>1.1000000000000001</v>
      </c>
      <c r="D75" s="27">
        <f t="shared" si="10"/>
        <v>73</v>
      </c>
      <c r="E75" s="35">
        <f t="shared" si="11"/>
        <v>298.42745968478545</v>
      </c>
      <c r="F75" s="26">
        <f t="shared" si="12"/>
        <v>3.1601409818373911</v>
      </c>
      <c r="G75" s="26">
        <f t="shared" si="13"/>
        <v>5</v>
      </c>
      <c r="H75" s="27">
        <f t="shared" si="14"/>
        <v>150</v>
      </c>
      <c r="I75" s="28">
        <v>69</v>
      </c>
      <c r="J75" s="26">
        <f t="shared" si="15"/>
        <v>4.0283673469387757</v>
      </c>
    </row>
    <row r="76" spans="1:10" x14ac:dyDescent="0.25">
      <c r="A76" s="32">
        <f t="shared" si="9"/>
        <v>25</v>
      </c>
      <c r="B76" s="33">
        <f t="shared" si="8"/>
        <v>298</v>
      </c>
      <c r="C76" s="34">
        <f t="shared" si="10"/>
        <v>1.1000000000000001</v>
      </c>
      <c r="D76" s="27">
        <f t="shared" si="10"/>
        <v>73</v>
      </c>
      <c r="E76" s="35">
        <f t="shared" si="11"/>
        <v>298.42164399708622</v>
      </c>
      <c r="F76" s="26">
        <f t="shared" si="12"/>
        <v>3.1385701376754818</v>
      </c>
      <c r="G76" s="26">
        <f t="shared" si="13"/>
        <v>5</v>
      </c>
      <c r="H76" s="27">
        <f t="shared" si="14"/>
        <v>150</v>
      </c>
      <c r="I76" s="28">
        <v>70</v>
      </c>
      <c r="J76" s="26">
        <f t="shared" si="15"/>
        <v>4</v>
      </c>
    </row>
    <row r="77" spans="1:10" x14ac:dyDescent="0.25">
      <c r="A77" s="32">
        <f t="shared" si="9"/>
        <v>25</v>
      </c>
      <c r="B77" s="33">
        <f t="shared" si="8"/>
        <v>298</v>
      </c>
      <c r="C77" s="34">
        <f t="shared" si="10"/>
        <v>1.1000000000000001</v>
      </c>
      <c r="D77" s="27">
        <f t="shared" si="10"/>
        <v>73</v>
      </c>
      <c r="E77" s="35">
        <f t="shared" si="11"/>
        <v>298.41590743316078</v>
      </c>
      <c r="F77" s="26">
        <f t="shared" si="12"/>
        <v>3.1171465341968769</v>
      </c>
      <c r="G77" s="26">
        <f t="shared" si="13"/>
        <v>5</v>
      </c>
      <c r="H77" s="27">
        <f t="shared" si="14"/>
        <v>150</v>
      </c>
      <c r="I77" s="29">
        <v>71</v>
      </c>
      <c r="J77" s="30">
        <f t="shared" si="15"/>
        <v>3.9712244897959188</v>
      </c>
    </row>
    <row r="78" spans="1:10" x14ac:dyDescent="0.25">
      <c r="A78" s="32">
        <f t="shared" si="9"/>
        <v>25</v>
      </c>
      <c r="B78" s="33">
        <f t="shared" si="8"/>
        <v>298</v>
      </c>
      <c r="C78" s="34">
        <f t="shared" si="10"/>
        <v>1.1000000000000001</v>
      </c>
      <c r="D78" s="27">
        <f t="shared" si="10"/>
        <v>73</v>
      </c>
      <c r="E78" s="35">
        <f t="shared" si="11"/>
        <v>298.41024891651199</v>
      </c>
      <c r="F78" s="26">
        <f t="shared" si="12"/>
        <v>3.0958691663498854</v>
      </c>
      <c r="G78" s="26">
        <f t="shared" si="13"/>
        <v>5</v>
      </c>
      <c r="H78" s="27">
        <f t="shared" si="14"/>
        <v>150</v>
      </c>
      <c r="I78" s="28">
        <v>72</v>
      </c>
      <c r="J78" s="26">
        <f t="shared" si="15"/>
        <v>3.9420408163265308</v>
      </c>
    </row>
    <row r="79" spans="1:10" x14ac:dyDescent="0.25">
      <c r="A79" s="32">
        <f t="shared" si="9"/>
        <v>25</v>
      </c>
      <c r="B79" s="33">
        <f t="shared" si="8"/>
        <v>298</v>
      </c>
      <c r="C79" s="34">
        <f t="shared" si="10"/>
        <v>1.1000000000000001</v>
      </c>
      <c r="D79" s="27">
        <f t="shared" si="10"/>
        <v>73</v>
      </c>
      <c r="E79" s="35">
        <f t="shared" si="11"/>
        <v>298.40466738528858</v>
      </c>
      <c r="F79" s="26">
        <f t="shared" si="12"/>
        <v>3.0747370359427832</v>
      </c>
      <c r="G79" s="26">
        <f t="shared" si="13"/>
        <v>5</v>
      </c>
      <c r="H79" s="27">
        <f t="shared" si="14"/>
        <v>150</v>
      </c>
      <c r="I79" s="28">
        <v>73</v>
      </c>
      <c r="J79" s="26">
        <f t="shared" si="15"/>
        <v>3.9124489795918365</v>
      </c>
    </row>
    <row r="80" spans="1:10" x14ac:dyDescent="0.25">
      <c r="A80" s="32">
        <f t="shared" si="9"/>
        <v>25</v>
      </c>
      <c r="B80" s="33">
        <f t="shared" si="8"/>
        <v>298</v>
      </c>
      <c r="C80" s="34">
        <f t="shared" si="10"/>
        <v>1.1000000000000001</v>
      </c>
      <c r="D80" s="27">
        <f t="shared" si="10"/>
        <v>73</v>
      </c>
      <c r="E80" s="35">
        <f t="shared" si="11"/>
        <v>298.39916179208609</v>
      </c>
      <c r="F80" s="26">
        <f t="shared" si="12"/>
        <v>3.0537491515977147</v>
      </c>
      <c r="G80" s="26">
        <f t="shared" si="13"/>
        <v>5</v>
      </c>
      <c r="H80" s="27">
        <f t="shared" si="14"/>
        <v>150</v>
      </c>
      <c r="I80" s="29">
        <v>74</v>
      </c>
      <c r="J80" s="30">
        <f t="shared" si="15"/>
        <v>3.8824489795918367</v>
      </c>
    </row>
    <row r="81" spans="1:11" x14ac:dyDescent="0.25">
      <c r="A81" s="32">
        <f t="shared" si="9"/>
        <v>25</v>
      </c>
      <c r="B81" s="33">
        <f t="shared" si="8"/>
        <v>298</v>
      </c>
      <c r="C81" s="34">
        <f t="shared" si="10"/>
        <v>1.1000000000000001</v>
      </c>
      <c r="D81" s="27">
        <f t="shared" si="10"/>
        <v>73</v>
      </c>
      <c r="E81" s="35">
        <f t="shared" si="11"/>
        <v>298.39373110375016</v>
      </c>
      <c r="F81" s="26">
        <f t="shared" si="12"/>
        <v>3.0329045287034919</v>
      </c>
      <c r="G81" s="26">
        <f t="shared" si="13"/>
        <v>5</v>
      </c>
      <c r="H81" s="27">
        <f t="shared" si="14"/>
        <v>150</v>
      </c>
      <c r="I81" s="28">
        <v>75</v>
      </c>
      <c r="J81" s="26">
        <f t="shared" si="15"/>
        <v>3.8520408163265305</v>
      </c>
    </row>
    <row r="82" spans="1:11" x14ac:dyDescent="0.25">
      <c r="A82" s="32">
        <f t="shared" si="9"/>
        <v>25</v>
      </c>
      <c r="B82" s="33">
        <f t="shared" si="8"/>
        <v>298</v>
      </c>
      <c r="C82" s="34">
        <f t="shared" si="10"/>
        <v>1.1000000000000001</v>
      </c>
      <c r="D82" s="27">
        <f t="shared" si="10"/>
        <v>73</v>
      </c>
      <c r="E82" s="35">
        <f t="shared" si="11"/>
        <v>298.38837430118286</v>
      </c>
      <c r="F82" s="26">
        <f t="shared" si="12"/>
        <v>3.0122021893704267</v>
      </c>
      <c r="G82" s="26">
        <f t="shared" si="13"/>
        <v>5</v>
      </c>
      <c r="H82" s="27">
        <f t="shared" si="14"/>
        <v>150</v>
      </c>
      <c r="I82" s="28">
        <v>76</v>
      </c>
      <c r="J82" s="26">
        <f t="shared" si="15"/>
        <v>3.8212244897959184</v>
      </c>
    </row>
    <row r="83" spans="1:11" x14ac:dyDescent="0.25">
      <c r="A83" s="32">
        <f t="shared" si="9"/>
        <v>25</v>
      </c>
      <c r="B83" s="33">
        <f t="shared" si="8"/>
        <v>298</v>
      </c>
      <c r="C83" s="34">
        <f t="shared" si="10"/>
        <v>1.1000000000000001</v>
      </c>
      <c r="D83" s="27">
        <f t="shared" si="10"/>
        <v>73</v>
      </c>
      <c r="E83" s="35">
        <f t="shared" si="11"/>
        <v>298.38309037915116</v>
      </c>
      <c r="F83" s="26">
        <f t="shared" si="12"/>
        <v>2.9916411623829915</v>
      </c>
      <c r="G83" s="26">
        <f t="shared" si="13"/>
        <v>5</v>
      </c>
      <c r="H83" s="27">
        <f t="shared" si="14"/>
        <v>150</v>
      </c>
      <c r="I83" s="29">
        <v>77</v>
      </c>
      <c r="J83" s="30">
        <f t="shared" si="15"/>
        <v>3.79</v>
      </c>
    </row>
    <row r="84" spans="1:11" x14ac:dyDescent="0.25">
      <c r="A84" s="32">
        <f t="shared" si="9"/>
        <v>25</v>
      </c>
      <c r="B84" s="33">
        <f t="shared" si="8"/>
        <v>298</v>
      </c>
      <c r="C84" s="34">
        <f t="shared" si="10"/>
        <v>1.1000000000000001</v>
      </c>
      <c r="D84" s="27">
        <f t="shared" si="10"/>
        <v>73</v>
      </c>
      <c r="E84" s="35">
        <f t="shared" si="11"/>
        <v>298.37787834609867</v>
      </c>
      <c r="F84" s="26">
        <f t="shared" si="12"/>
        <v>2.9712204831561424</v>
      </c>
      <c r="G84" s="26">
        <f t="shared" si="13"/>
        <v>5</v>
      </c>
      <c r="H84" s="27">
        <f t="shared" si="14"/>
        <v>150</v>
      </c>
      <c r="I84" s="29">
        <v>78</v>
      </c>
      <c r="J84" s="30">
        <f t="shared" si="15"/>
        <v>3.7583673469387753</v>
      </c>
    </row>
    <row r="85" spans="1:11" x14ac:dyDescent="0.25">
      <c r="A85" s="32">
        <f t="shared" si="9"/>
        <v>25</v>
      </c>
      <c r="B85" s="33">
        <f t="shared" si="8"/>
        <v>298</v>
      </c>
      <c r="C85" s="34">
        <f t="shared" si="10"/>
        <v>1.1000000000000001</v>
      </c>
      <c r="D85" s="27">
        <f t="shared" si="10"/>
        <v>73</v>
      </c>
      <c r="E85" s="35">
        <f t="shared" si="11"/>
        <v>298.37273722395912</v>
      </c>
      <c r="F85" s="26">
        <f t="shared" si="12"/>
        <v>2.9509391936879372</v>
      </c>
      <c r="G85" s="26">
        <f t="shared" si="13"/>
        <v>5</v>
      </c>
      <c r="H85" s="27">
        <f t="shared" si="14"/>
        <v>150</v>
      </c>
      <c r="I85" s="28">
        <v>79</v>
      </c>
      <c r="J85" s="26">
        <f t="shared" si="15"/>
        <v>3.7263265306122451</v>
      </c>
    </row>
    <row r="86" spans="1:11" x14ac:dyDescent="0.25">
      <c r="A86" s="32">
        <f t="shared" si="9"/>
        <v>25</v>
      </c>
      <c r="B86" s="33">
        <f t="shared" si="8"/>
        <v>298</v>
      </c>
      <c r="C86" s="34">
        <f t="shared" si="10"/>
        <v>1.1000000000000001</v>
      </c>
      <c r="D86" s="27">
        <f t="shared" si="10"/>
        <v>73</v>
      </c>
      <c r="E86" s="35">
        <f t="shared" si="11"/>
        <v>298.36766604797322</v>
      </c>
      <c r="F86" s="26">
        <f t="shared" si="12"/>
        <v>2.9307963425163401</v>
      </c>
      <c r="G86" s="26">
        <f t="shared" si="13"/>
        <v>5</v>
      </c>
      <c r="H86" s="27">
        <f t="shared" si="14"/>
        <v>150</v>
      </c>
      <c r="I86" s="29">
        <v>80</v>
      </c>
      <c r="J86" s="30">
        <f t="shared" si="15"/>
        <v>3.6938775510204085</v>
      </c>
    </row>
    <row r="87" spans="1:11" x14ac:dyDescent="0.25">
      <c r="A87" s="32">
        <f t="shared" si="9"/>
        <v>25</v>
      </c>
      <c r="B87" s="33">
        <f t="shared" si="8"/>
        <v>298</v>
      </c>
      <c r="C87" s="34">
        <f t="shared" si="10"/>
        <v>1.1000000000000001</v>
      </c>
      <c r="D87" s="27">
        <f t="shared" si="10"/>
        <v>73</v>
      </c>
      <c r="E87" s="35">
        <f t="shared" si="11"/>
        <v>298.36266386650738</v>
      </c>
      <c r="F87" s="26">
        <f t="shared" si="12"/>
        <v>2.9107909846736755</v>
      </c>
      <c r="G87" s="26">
        <f t="shared" si="13"/>
        <v>5</v>
      </c>
      <c r="H87" s="27">
        <f t="shared" si="14"/>
        <v>150</v>
      </c>
      <c r="I87" s="28">
        <v>81</v>
      </c>
      <c r="J87" s="26">
        <f t="shared" si="15"/>
        <v>3.6610204081632651</v>
      </c>
    </row>
    <row r="88" spans="1:11" x14ac:dyDescent="0.25">
      <c r="A88" s="32">
        <f t="shared" si="9"/>
        <v>25</v>
      </c>
      <c r="B88" s="33">
        <f t="shared" si="8"/>
        <v>298</v>
      </c>
      <c r="C88" s="34">
        <f t="shared" si="10"/>
        <v>1.1000000000000001</v>
      </c>
      <c r="D88" s="27">
        <f t="shared" si="10"/>
        <v>73</v>
      </c>
      <c r="E88" s="35">
        <f t="shared" si="11"/>
        <v>298.35772974087524</v>
      </c>
      <c r="F88" s="26">
        <f t="shared" si="12"/>
        <v>2.8909221816426607</v>
      </c>
      <c r="G88" s="26">
        <f t="shared" si="13"/>
        <v>5</v>
      </c>
      <c r="H88" s="27">
        <f t="shared" si="14"/>
        <v>150</v>
      </c>
      <c r="I88" s="29">
        <v>82</v>
      </c>
      <c r="J88" s="30">
        <f t="shared" si="15"/>
        <v>3.6277551020408163</v>
      </c>
    </row>
    <row r="89" spans="1:11" x14ac:dyDescent="0.25">
      <c r="A89" s="32">
        <f t="shared" si="9"/>
        <v>25</v>
      </c>
      <c r="B89" s="33">
        <f t="shared" si="8"/>
        <v>298</v>
      </c>
      <c r="C89" s="34">
        <f t="shared" si="10"/>
        <v>1.1000000000000001</v>
      </c>
      <c r="D89" s="27">
        <f t="shared" si="10"/>
        <v>73</v>
      </c>
      <c r="E89" s="35">
        <f t="shared" si="11"/>
        <v>298.35286274516153</v>
      </c>
      <c r="F89" s="26">
        <f t="shared" si="12"/>
        <v>2.8711890013123429</v>
      </c>
      <c r="G89" s="26">
        <f t="shared" si="13"/>
        <v>5</v>
      </c>
      <c r="H89" s="27">
        <f t="shared" si="14"/>
        <v>150</v>
      </c>
      <c r="I89" s="43">
        <v>83</v>
      </c>
      <c r="J89" s="44">
        <f t="shared" si="15"/>
        <v>3.5940816326530611</v>
      </c>
      <c r="K89" s="45"/>
    </row>
    <row r="90" spans="1:11" x14ac:dyDescent="0.25">
      <c r="A90" s="32">
        <f t="shared" si="9"/>
        <v>25</v>
      </c>
      <c r="B90" s="33">
        <f t="shared" si="8"/>
        <v>298</v>
      </c>
      <c r="C90" s="34">
        <f t="shared" si="10"/>
        <v>1.1000000000000001</v>
      </c>
      <c r="D90" s="27">
        <f t="shared" si="10"/>
        <v>73</v>
      </c>
      <c r="E90" s="35">
        <f t="shared" si="11"/>
        <v>298.34806196604808</v>
      </c>
      <c r="F90" s="26">
        <f t="shared" si="12"/>
        <v>2.8515905179336087</v>
      </c>
      <c r="G90" s="26">
        <f t="shared" si="13"/>
        <v>5</v>
      </c>
      <c r="H90" s="27">
        <f t="shared" si="14"/>
        <v>150</v>
      </c>
      <c r="I90" s="43">
        <v>84</v>
      </c>
      <c r="J90" s="44">
        <f t="shared" si="15"/>
        <v>3.56</v>
      </c>
      <c r="K90" s="45"/>
    </row>
    <row r="91" spans="1:11" x14ac:dyDescent="0.25">
      <c r="A91" s="32">
        <f t="shared" si="9"/>
        <v>25</v>
      </c>
      <c r="B91" s="33">
        <f t="shared" si="8"/>
        <v>298</v>
      </c>
      <c r="C91" s="34">
        <f t="shared" si="10"/>
        <v>1.1000000000000001</v>
      </c>
      <c r="D91" s="27">
        <f t="shared" si="10"/>
        <v>73</v>
      </c>
      <c r="E91" s="35">
        <f t="shared" si="11"/>
        <v>298.34332650264287</v>
      </c>
      <c r="F91" s="26">
        <f t="shared" si="12"/>
        <v>2.8321258120773938</v>
      </c>
      <c r="G91" s="26">
        <f t="shared" si="13"/>
        <v>5</v>
      </c>
      <c r="H91" s="27">
        <f t="shared" si="14"/>
        <v>150</v>
      </c>
      <c r="I91" s="43">
        <v>85</v>
      </c>
      <c r="J91" s="44">
        <f t="shared" si="15"/>
        <v>3.5255102040816331</v>
      </c>
      <c r="K91" s="45"/>
    </row>
    <row r="92" spans="1:11" x14ac:dyDescent="0.25">
      <c r="A92" s="32">
        <f t="shared" si="9"/>
        <v>25</v>
      </c>
      <c r="B92" s="33">
        <f t="shared" si="8"/>
        <v>298</v>
      </c>
      <c r="C92" s="34">
        <f t="shared" si="10"/>
        <v>1.1000000000000001</v>
      </c>
      <c r="D92" s="27">
        <f t="shared" si="10"/>
        <v>73</v>
      </c>
      <c r="E92" s="35">
        <f t="shared" si="11"/>
        <v>298.33865546631051</v>
      </c>
      <c r="F92" s="26">
        <f t="shared" si="12"/>
        <v>2.8127939705897194</v>
      </c>
      <c r="G92" s="26">
        <f t="shared" si="13"/>
        <v>5</v>
      </c>
      <c r="H92" s="27">
        <f t="shared" si="14"/>
        <v>150</v>
      </c>
      <c r="I92" s="43">
        <v>86</v>
      </c>
      <c r="J92" s="44">
        <f t="shared" si="15"/>
        <v>3.4906122448979593</v>
      </c>
      <c r="K92" s="45"/>
    </row>
    <row r="93" spans="1:11" x14ac:dyDescent="0.25">
      <c r="A93" s="32">
        <f t="shared" si="9"/>
        <v>25</v>
      </c>
      <c r="B93" s="33">
        <f t="shared" si="8"/>
        <v>298</v>
      </c>
      <c r="C93" s="34">
        <f t="shared" si="10"/>
        <v>1.1000000000000001</v>
      </c>
      <c r="D93" s="27">
        <f t="shared" si="10"/>
        <v>73</v>
      </c>
      <c r="E93" s="35">
        <f t="shared" si="11"/>
        <v>298.33404798050589</v>
      </c>
      <c r="F93" s="26">
        <f t="shared" si="12"/>
        <v>2.7935940865503941</v>
      </c>
      <c r="G93" s="26">
        <f t="shared" si="13"/>
        <v>5</v>
      </c>
      <c r="H93" s="27">
        <f t="shared" si="14"/>
        <v>150</v>
      </c>
      <c r="I93" s="43">
        <v>87</v>
      </c>
      <c r="J93" s="44">
        <f t="shared" si="15"/>
        <v>3.4553061224489796</v>
      </c>
      <c r="K93" s="45"/>
    </row>
    <row r="94" spans="1:11" x14ac:dyDescent="0.25">
      <c r="A94" s="32">
        <f t="shared" si="9"/>
        <v>25</v>
      </c>
      <c r="B94" s="33">
        <f t="shared" si="8"/>
        <v>298</v>
      </c>
      <c r="C94" s="34">
        <f t="shared" si="10"/>
        <v>1.1000000000000001</v>
      </c>
      <c r="D94" s="27">
        <f t="shared" si="10"/>
        <v>73</v>
      </c>
      <c r="E94" s="35">
        <f t="shared" si="11"/>
        <v>298.32950318060938</v>
      </c>
      <c r="F94" s="26">
        <f t="shared" si="12"/>
        <v>2.774525259229466</v>
      </c>
      <c r="G94" s="26">
        <f t="shared" si="13"/>
        <v>5</v>
      </c>
      <c r="H94" s="27">
        <f t="shared" si="14"/>
        <v>150</v>
      </c>
      <c r="I94" s="29">
        <v>88</v>
      </c>
      <c r="J94" s="30">
        <f t="shared" si="15"/>
        <v>3.419591836734694</v>
      </c>
      <c r="K94" s="45"/>
    </row>
    <row r="95" spans="1:11" x14ac:dyDescent="0.25">
      <c r="A95" s="32">
        <f t="shared" si="9"/>
        <v>25</v>
      </c>
      <c r="B95" s="33">
        <f t="shared" si="8"/>
        <v>298</v>
      </c>
      <c r="C95" s="34">
        <f t="shared" si="10"/>
        <v>1.1000000000000001</v>
      </c>
      <c r="D95" s="27">
        <f t="shared" si="10"/>
        <v>73</v>
      </c>
      <c r="E95" s="35">
        <f t="shared" si="11"/>
        <v>298.32502021376467</v>
      </c>
      <c r="F95" s="26">
        <f t="shared" si="12"/>
        <v>2.7555865940450386</v>
      </c>
      <c r="G95" s="26">
        <f t="shared" si="13"/>
        <v>5</v>
      </c>
      <c r="H95" s="27">
        <f t="shared" si="14"/>
        <v>150</v>
      </c>
      <c r="I95" s="43">
        <v>89</v>
      </c>
      <c r="J95" s="44">
        <f t="shared" si="15"/>
        <v>3.3834693877551025</v>
      </c>
      <c r="K95" s="45"/>
    </row>
    <row r="96" spans="1:11" x14ac:dyDescent="0.25">
      <c r="A96" s="32">
        <f t="shared" si="9"/>
        <v>25</v>
      </c>
      <c r="B96" s="33">
        <f t="shared" si="8"/>
        <v>298</v>
      </c>
      <c r="C96" s="34">
        <f t="shared" si="10"/>
        <v>1.1000000000000001</v>
      </c>
      <c r="D96" s="27">
        <f t="shared" si="10"/>
        <v>73</v>
      </c>
      <c r="E96" s="35">
        <f t="shared" si="11"/>
        <v>298.3205982387189</v>
      </c>
      <c r="F96" s="26">
        <f t="shared" si="12"/>
        <v>2.736777202522144</v>
      </c>
      <c r="G96" s="26">
        <f t="shared" si="13"/>
        <v>5</v>
      </c>
      <c r="H96" s="27">
        <f t="shared" si="14"/>
        <v>150</v>
      </c>
      <c r="I96" s="43">
        <v>90</v>
      </c>
      <c r="J96" s="44">
        <f t="shared" si="15"/>
        <v>3.3469387755102038</v>
      </c>
      <c r="K96" s="45"/>
    </row>
    <row r="97" spans="1:11" x14ac:dyDescent="0.25">
      <c r="A97" s="32">
        <f t="shared" si="9"/>
        <v>25</v>
      </c>
      <c r="B97" s="33">
        <f t="shared" si="8"/>
        <v>298</v>
      </c>
      <c r="C97" s="34">
        <f t="shared" si="10"/>
        <v>1.1000000000000001</v>
      </c>
      <c r="D97" s="27">
        <f t="shared" si="10"/>
        <v>73</v>
      </c>
      <c r="E97" s="35">
        <f t="shared" si="11"/>
        <v>298.31623642566456</v>
      </c>
      <c r="F97" s="26">
        <f t="shared" si="12"/>
        <v>2.718096202250154</v>
      </c>
      <c r="G97" s="26">
        <f t="shared" si="13"/>
        <v>5</v>
      </c>
      <c r="H97" s="27">
        <f t="shared" si="14"/>
        <v>150</v>
      </c>
      <c r="I97" s="29">
        <v>91</v>
      </c>
      <c r="J97" s="30">
        <f t="shared" si="15"/>
        <v>3.3099999999999996</v>
      </c>
      <c r="K97" s="45"/>
    </row>
    <row r="98" spans="1:11" x14ac:dyDescent="0.25">
      <c r="A98" s="32">
        <f t="shared" si="9"/>
        <v>25</v>
      </c>
      <c r="B98" s="33">
        <f t="shared" si="8"/>
        <v>298</v>
      </c>
      <c r="C98" s="34">
        <f t="shared" si="10"/>
        <v>1.1000000000000001</v>
      </c>
      <c r="D98" s="27">
        <f t="shared" si="10"/>
        <v>73</v>
      </c>
      <c r="E98" s="35">
        <f t="shared" si="11"/>
        <v>298.31193395608381</v>
      </c>
      <c r="F98" s="26">
        <f t="shared" si="12"/>
        <v>2.6995427168414774</v>
      </c>
      <c r="G98" s="26">
        <f t="shared" si="13"/>
        <v>5</v>
      </c>
      <c r="H98" s="27">
        <f t="shared" si="14"/>
        <v>150</v>
      </c>
      <c r="I98" s="43">
        <v>92</v>
      </c>
      <c r="J98" s="44">
        <f t="shared" si="15"/>
        <v>3.2726530612244895</v>
      </c>
      <c r="K98" s="45"/>
    </row>
    <row r="99" spans="1:11" x14ac:dyDescent="0.25">
      <c r="A99" s="32">
        <f t="shared" si="9"/>
        <v>25</v>
      </c>
      <c r="B99" s="33">
        <f t="shared" si="8"/>
        <v>298</v>
      </c>
      <c r="C99" s="34">
        <f t="shared" si="10"/>
        <v>1.1000000000000001</v>
      </c>
      <c r="D99" s="27">
        <f t="shared" si="10"/>
        <v>73</v>
      </c>
      <c r="E99" s="35">
        <f t="shared" si="11"/>
        <v>298.30769002259501</v>
      </c>
      <c r="F99" s="26">
        <f t="shared" si="12"/>
        <v>2.6811158758909679</v>
      </c>
      <c r="G99" s="26">
        <f t="shared" si="13"/>
        <v>5</v>
      </c>
      <c r="H99" s="27">
        <f t="shared" si="14"/>
        <v>150</v>
      </c>
      <c r="I99" s="43">
        <v>93</v>
      </c>
      <c r="J99" s="44">
        <f t="shared" si="15"/>
        <v>3.2348979591836735</v>
      </c>
      <c r="K99" s="45"/>
    </row>
    <row r="100" spans="1:11" x14ac:dyDescent="0.25">
      <c r="A100" s="32">
        <f t="shared" si="9"/>
        <v>25</v>
      </c>
      <c r="B100" s="33">
        <f t="shared" si="8"/>
        <v>298</v>
      </c>
      <c r="C100" s="34">
        <f t="shared" si="10"/>
        <v>1.1000000000000001</v>
      </c>
      <c r="D100" s="27">
        <f t="shared" si="10"/>
        <v>73</v>
      </c>
      <c r="E100" s="35">
        <f t="shared" si="11"/>
        <v>298.30350382880113</v>
      </c>
      <c r="F100" s="26">
        <f t="shared" si="12"/>
        <v>2.6628148149346988</v>
      </c>
      <c r="G100" s="26">
        <f t="shared" si="13"/>
        <v>5</v>
      </c>
      <c r="H100" s="27">
        <f t="shared" si="14"/>
        <v>150</v>
      </c>
      <c r="I100" s="43">
        <v>94</v>
      </c>
      <c r="J100" s="44">
        <f t="shared" si="15"/>
        <v>3.1967346938775512</v>
      </c>
      <c r="K100" s="45"/>
    </row>
    <row r="101" spans="1:11" x14ac:dyDescent="0.25">
      <c r="A101" s="32">
        <f t="shared" si="9"/>
        <v>25</v>
      </c>
      <c r="B101" s="33">
        <f t="shared" si="8"/>
        <v>298</v>
      </c>
      <c r="C101" s="34">
        <f t="shared" si="10"/>
        <v>1.1000000000000001</v>
      </c>
      <c r="D101" s="27">
        <f t="shared" si="10"/>
        <v>73</v>
      </c>
      <c r="E101" s="35">
        <f t="shared" si="11"/>
        <v>298.29937458914031</v>
      </c>
      <c r="F101" s="26">
        <f t="shared" si="12"/>
        <v>2.644638675409686</v>
      </c>
      <c r="G101" s="26">
        <f t="shared" si="13"/>
        <v>5</v>
      </c>
      <c r="H101" s="27">
        <f t="shared" si="14"/>
        <v>150</v>
      </c>
      <c r="I101" s="43">
        <v>95</v>
      </c>
      <c r="J101" s="44">
        <f t="shared" si="15"/>
        <v>3.158163265306122</v>
      </c>
      <c r="K101" s="45"/>
    </row>
    <row r="102" spans="1:11" x14ac:dyDescent="0.25">
      <c r="A102" s="32">
        <f t="shared" si="9"/>
        <v>25</v>
      </c>
      <c r="B102" s="33">
        <f t="shared" si="8"/>
        <v>298</v>
      </c>
      <c r="C102" s="34">
        <f t="shared" si="10"/>
        <v>1.1000000000000001</v>
      </c>
      <c r="D102" s="27">
        <f t="shared" si="10"/>
        <v>73</v>
      </c>
      <c r="E102" s="35">
        <f t="shared" si="11"/>
        <v>298.29530152873838</v>
      </c>
      <c r="F102" s="26">
        <f t="shared" si="12"/>
        <v>2.6265866046129469</v>
      </c>
      <c r="G102" s="26">
        <f t="shared" si="13"/>
        <v>5</v>
      </c>
      <c r="H102" s="27">
        <f t="shared" si="14"/>
        <v>150</v>
      </c>
      <c r="I102" s="43">
        <v>96</v>
      </c>
      <c r="J102" s="44">
        <f t="shared" si="15"/>
        <v>3.1191836734693874</v>
      </c>
      <c r="K102" s="45"/>
    </row>
    <row r="103" spans="1:11" x14ac:dyDescent="0.25">
      <c r="A103" s="32">
        <f t="shared" si="9"/>
        <v>25</v>
      </c>
      <c r="B103" s="33">
        <f t="shared" si="8"/>
        <v>298</v>
      </c>
      <c r="C103" s="34">
        <f t="shared" si="10"/>
        <v>1.1000000000000001</v>
      </c>
      <c r="D103" s="27">
        <f t="shared" si="10"/>
        <v>73</v>
      </c>
      <c r="E103" s="35">
        <f t="shared" si="11"/>
        <v>298.29128388326353</v>
      </c>
      <c r="F103" s="26">
        <f t="shared" si="12"/>
        <v>2.6086577556622621</v>
      </c>
      <c r="G103" s="26">
        <f t="shared" si="13"/>
        <v>5</v>
      </c>
      <c r="H103" s="27">
        <f t="shared" si="14"/>
        <v>150</v>
      </c>
      <c r="I103" s="29">
        <v>97</v>
      </c>
      <c r="J103" s="30">
        <f t="shared" si="15"/>
        <v>3.0797959183673473</v>
      </c>
      <c r="K103" s="45"/>
    </row>
    <row r="104" spans="1:11" x14ac:dyDescent="0.25">
      <c r="A104" s="32">
        <f t="shared" si="9"/>
        <v>25</v>
      </c>
      <c r="B104" s="33">
        <f t="shared" si="8"/>
        <v>298</v>
      </c>
      <c r="C104" s="34">
        <f t="shared" si="10"/>
        <v>1.1000000000000001</v>
      </c>
      <c r="D104" s="27">
        <f t="shared" si="10"/>
        <v>73</v>
      </c>
      <c r="E104" s="35">
        <f t="shared" si="11"/>
        <v>298.28732089878298</v>
      </c>
      <c r="F104" s="26">
        <f t="shared" si="12"/>
        <v>2.5908512874565224</v>
      </c>
      <c r="G104" s="26">
        <f t="shared" si="13"/>
        <v>5</v>
      </c>
      <c r="H104" s="27">
        <f t="shared" si="14"/>
        <v>150</v>
      </c>
      <c r="I104" s="43">
        <v>98</v>
      </c>
      <c r="J104" s="44">
        <f t="shared" si="15"/>
        <v>3.04</v>
      </c>
      <c r="K104" s="45"/>
    </row>
    <row r="105" spans="1:11" x14ac:dyDescent="0.25">
      <c r="A105" s="32">
        <f t="shared" si="9"/>
        <v>25</v>
      </c>
      <c r="B105" s="33">
        <f t="shared" si="8"/>
        <v>298</v>
      </c>
      <c r="C105" s="34">
        <f t="shared" si="10"/>
        <v>1.1000000000000001</v>
      </c>
      <c r="D105" s="27">
        <f t="shared" si="10"/>
        <v>73</v>
      </c>
      <c r="E105" s="35">
        <f t="shared" si="11"/>
        <v>298.28341183162115</v>
      </c>
      <c r="F105" s="26">
        <f t="shared" si="12"/>
        <v>2.5731663646349769</v>
      </c>
      <c r="G105" s="26">
        <f t="shared" si="13"/>
        <v>5</v>
      </c>
      <c r="H105" s="27">
        <f t="shared" si="14"/>
        <v>150</v>
      </c>
      <c r="I105" s="29">
        <v>99</v>
      </c>
      <c r="J105" s="30">
        <f t="shared" si="15"/>
        <v>2.9997959183673468</v>
      </c>
      <c r="K105" s="45"/>
    </row>
    <row r="106" spans="1:11" x14ac:dyDescent="0.25">
      <c r="A106" s="32">
        <f t="shared" si="9"/>
        <v>25</v>
      </c>
      <c r="B106" s="33">
        <f t="shared" si="8"/>
        <v>298</v>
      </c>
      <c r="C106" s="34">
        <f t="shared" si="10"/>
        <v>1.1000000000000001</v>
      </c>
      <c r="D106" s="27">
        <f t="shared" si="10"/>
        <v>73</v>
      </c>
      <c r="E106" s="35">
        <f t="shared" si="11"/>
        <v>298.2795559482206</v>
      </c>
      <c r="F106" s="26">
        <f t="shared" si="12"/>
        <v>2.5556021575401076</v>
      </c>
      <c r="G106" s="26">
        <f t="shared" si="13"/>
        <v>5</v>
      </c>
      <c r="H106" s="27">
        <f t="shared" si="14"/>
        <v>150</v>
      </c>
      <c r="I106" s="43">
        <v>100</v>
      </c>
      <c r="J106" s="44">
        <f t="shared" si="15"/>
        <v>2.9591836734693877</v>
      </c>
      <c r="K106" s="45"/>
    </row>
    <row r="107" spans="1:11" x14ac:dyDescent="0.25">
      <c r="A107" s="32">
        <f t="shared" si="9"/>
        <v>25</v>
      </c>
      <c r="B107" s="33">
        <f t="shared" si="8"/>
        <v>298</v>
      </c>
      <c r="C107" s="34">
        <f t="shared" si="10"/>
        <v>1.1000000000000001</v>
      </c>
      <c r="D107" s="27">
        <f t="shared" si="10"/>
        <v>73</v>
      </c>
      <c r="E107" s="35">
        <f t="shared" si="11"/>
        <v>298.2757525250039</v>
      </c>
      <c r="F107" s="26">
        <f t="shared" si="12"/>
        <v>2.538157842176568</v>
      </c>
      <c r="G107" s="26">
        <f t="shared" si="13"/>
        <v>5</v>
      </c>
      <c r="H107" s="27">
        <f t="shared" si="14"/>
        <v>150</v>
      </c>
      <c r="I107" s="29">
        <v>101</v>
      </c>
      <c r="J107" s="30">
        <f>(0.2*(4*(I107+73)+10)*EXP((-1/73*(I107+113)^1.05))-300/(I107^1.05+90)+0.1)*1.64</f>
        <v>2.9079345865542989</v>
      </c>
      <c r="K107" s="45"/>
    </row>
    <row r="108" spans="1:11" x14ac:dyDescent="0.25">
      <c r="A108" s="32">
        <f t="shared" si="9"/>
        <v>25</v>
      </c>
      <c r="B108" s="33">
        <f t="shared" si="8"/>
        <v>298</v>
      </c>
      <c r="C108" s="34">
        <f t="shared" si="10"/>
        <v>1.1000000000000001</v>
      </c>
      <c r="D108" s="27">
        <f t="shared" si="10"/>
        <v>73</v>
      </c>
      <c r="E108" s="35">
        <f t="shared" si="11"/>
        <v>298.27200084823818</v>
      </c>
      <c r="F108" s="26">
        <f t="shared" si="12"/>
        <v>2.520832600174264</v>
      </c>
      <c r="G108" s="26">
        <f t="shared" si="13"/>
        <v>5</v>
      </c>
      <c r="H108" s="27">
        <f t="shared" si="14"/>
        <v>150</v>
      </c>
      <c r="I108" s="43">
        <v>102</v>
      </c>
      <c r="J108" s="44">
        <f t="shared" ref="J108:J171" si="16">(0.2*(4*(I108+73)+10)*EXP((-1/73*(I108+113)^1.05))-300/(I108^1.05+90)+0.1)*1.64</f>
        <v>2.8561472984264697</v>
      </c>
      <c r="K108" s="45"/>
    </row>
    <row r="109" spans="1:11" x14ac:dyDescent="0.25">
      <c r="A109" s="32">
        <f t="shared" si="9"/>
        <v>25</v>
      </c>
      <c r="B109" s="33">
        <f t="shared" si="8"/>
        <v>298</v>
      </c>
      <c r="C109" s="34">
        <f t="shared" si="10"/>
        <v>1.1000000000000001</v>
      </c>
      <c r="D109" s="27">
        <f t="shared" si="10"/>
        <v>73</v>
      </c>
      <c r="E109" s="35">
        <f t="shared" si="11"/>
        <v>298.268300213901</v>
      </c>
      <c r="F109" s="26">
        <f t="shared" si="12"/>
        <v>2.5036256187487194</v>
      </c>
      <c r="G109" s="26">
        <f t="shared" si="13"/>
        <v>5</v>
      </c>
      <c r="H109" s="27">
        <f t="shared" si="14"/>
        <v>150</v>
      </c>
      <c r="I109" s="43">
        <v>103</v>
      </c>
      <c r="J109" s="44">
        <f t="shared" si="16"/>
        <v>2.8048818851178945</v>
      </c>
      <c r="K109" s="45"/>
    </row>
    <row r="110" spans="1:11" x14ac:dyDescent="0.25">
      <c r="A110" s="32">
        <f t="shared" si="9"/>
        <v>25</v>
      </c>
      <c r="B110" s="33">
        <f t="shared" si="8"/>
        <v>298</v>
      </c>
      <c r="C110" s="34">
        <f t="shared" si="10"/>
        <v>1.1000000000000001</v>
      </c>
      <c r="D110" s="27">
        <f t="shared" si="10"/>
        <v>73</v>
      </c>
      <c r="E110" s="35">
        <f t="shared" si="11"/>
        <v>298.26464992754836</v>
      </c>
      <c r="F110" s="26">
        <f t="shared" si="12"/>
        <v>2.486536090663773</v>
      </c>
      <c r="G110" s="26">
        <f t="shared" si="13"/>
        <v>5</v>
      </c>
      <c r="H110" s="27">
        <f t="shared" si="14"/>
        <v>150</v>
      </c>
      <c r="I110" s="43">
        <v>104</v>
      </c>
      <c r="J110" s="44">
        <f t="shared" si="16"/>
        <v>2.7541385421877616</v>
      </c>
      <c r="K110" s="45"/>
    </row>
    <row r="111" spans="1:11" x14ac:dyDescent="0.25">
      <c r="A111" s="32">
        <f t="shared" si="9"/>
        <v>25</v>
      </c>
      <c r="B111" s="33">
        <f t="shared" si="8"/>
        <v>298</v>
      </c>
      <c r="C111" s="34">
        <f t="shared" si="10"/>
        <v>1.1000000000000001</v>
      </c>
      <c r="D111" s="27">
        <f t="shared" si="10"/>
        <v>73</v>
      </c>
      <c r="E111" s="35">
        <f t="shared" si="11"/>
        <v>298.26104930418427</v>
      </c>
      <c r="F111" s="26">
        <f t="shared" si="12"/>
        <v>2.4695632141930624</v>
      </c>
      <c r="G111" s="26">
        <f t="shared" si="13"/>
        <v>5</v>
      </c>
      <c r="H111" s="27">
        <f t="shared" si="14"/>
        <v>150</v>
      </c>
      <c r="I111" s="43">
        <v>105</v>
      </c>
      <c r="J111" s="44">
        <f t="shared" si="16"/>
        <v>2.7039172665244373</v>
      </c>
      <c r="K111" s="45"/>
    </row>
    <row r="112" spans="1:11" x14ac:dyDescent="0.25">
      <c r="A112" s="32">
        <f t="shared" si="9"/>
        <v>25</v>
      </c>
      <c r="B112" s="33">
        <f t="shared" si="8"/>
        <v>298</v>
      </c>
      <c r="C112" s="34">
        <f t="shared" si="10"/>
        <v>1.1000000000000001</v>
      </c>
      <c r="D112" s="27">
        <f t="shared" si="10"/>
        <v>73</v>
      </c>
      <c r="E112" s="35">
        <f t="shared" si="11"/>
        <v>298.25749766813232</v>
      </c>
      <c r="F112" s="26">
        <f t="shared" si="12"/>
        <v>2.4527061930830354</v>
      </c>
      <c r="G112" s="26">
        <f t="shared" si="13"/>
        <v>5</v>
      </c>
      <c r="H112" s="27">
        <f t="shared" si="14"/>
        <v>150</v>
      </c>
      <c r="I112" s="43">
        <v>106</v>
      </c>
      <c r="J112" s="44">
        <f t="shared" si="16"/>
        <v>2.6542178637585243</v>
      </c>
      <c r="K112" s="45"/>
    </row>
    <row r="113" spans="1:11" x14ac:dyDescent="0.25">
      <c r="A113" s="32">
        <f t="shared" si="9"/>
        <v>25</v>
      </c>
      <c r="B113" s="33">
        <f t="shared" si="8"/>
        <v>298</v>
      </c>
      <c r="C113" s="34">
        <f t="shared" si="10"/>
        <v>1.1000000000000001</v>
      </c>
      <c r="D113" s="27">
        <f t="shared" si="10"/>
        <v>73</v>
      </c>
      <c r="E113" s="35">
        <f t="shared" si="11"/>
        <v>298.25399435290882</v>
      </c>
      <c r="F113" s="26">
        <f t="shared" si="12"/>
        <v>2.435964236515225</v>
      </c>
      <c r="G113" s="26">
        <f t="shared" si="13"/>
        <v>5</v>
      </c>
      <c r="H113" s="27">
        <f t="shared" si="14"/>
        <v>150</v>
      </c>
      <c r="I113" s="29">
        <v>107</v>
      </c>
      <c r="J113" s="30">
        <f t="shared" si="16"/>
        <v>2.605039955466427</v>
      </c>
      <c r="K113" s="45"/>
    </row>
    <row r="114" spans="1:11" x14ac:dyDescent="0.25">
      <c r="A114" s="32">
        <f t="shared" si="9"/>
        <v>25</v>
      </c>
      <c r="B114" s="33">
        <f t="shared" si="8"/>
        <v>298</v>
      </c>
      <c r="C114" s="34">
        <f t="shared" si="10"/>
        <v>1.1000000000000001</v>
      </c>
      <c r="D114" s="27">
        <f t="shared" si="10"/>
        <v>73</v>
      </c>
      <c r="E114" s="35">
        <f t="shared" si="11"/>
        <v>298.25053870109775</v>
      </c>
      <c r="F114" s="26">
        <f t="shared" si="12"/>
        <v>2.41933655906921</v>
      </c>
      <c r="G114" s="26">
        <f t="shared" si="13"/>
        <v>5</v>
      </c>
      <c r="H114" s="27">
        <f t="shared" si="14"/>
        <v>150</v>
      </c>
      <c r="I114" s="43">
        <v>108</v>
      </c>
      <c r="J114" s="44">
        <f t="shared" si="16"/>
        <v>2.5563829861697505</v>
      </c>
      <c r="K114" s="45"/>
    </row>
    <row r="115" spans="1:11" x14ac:dyDescent="0.25">
      <c r="A115" s="32">
        <f t="shared" si="9"/>
        <v>25</v>
      </c>
      <c r="B115" s="33">
        <f t="shared" si="8"/>
        <v>298</v>
      </c>
      <c r="C115" s="34">
        <f t="shared" si="10"/>
        <v>1.1000000000000001</v>
      </c>
      <c r="D115" s="27">
        <f t="shared" si="10"/>
        <v>73</v>
      </c>
      <c r="E115" s="35">
        <f t="shared" si="11"/>
        <v>298.24713006422741</v>
      </c>
      <c r="F115" s="26">
        <f t="shared" si="12"/>
        <v>2.4028223806858535</v>
      </c>
      <c r="G115" s="26">
        <f t="shared" si="13"/>
        <v>5</v>
      </c>
      <c r="H115" s="27">
        <f t="shared" si="14"/>
        <v>150</v>
      </c>
      <c r="I115" s="43">
        <v>109</v>
      </c>
      <c r="J115" s="44">
        <f t="shared" si="16"/>
        <v>2.5082462301359723</v>
      </c>
      <c r="K115" s="45"/>
    </row>
    <row r="116" spans="1:11" x14ac:dyDescent="0.25">
      <c r="A116" s="32">
        <f t="shared" si="9"/>
        <v>25</v>
      </c>
      <c r="B116" s="33">
        <f t="shared" si="8"/>
        <v>298</v>
      </c>
      <c r="C116" s="34">
        <f t="shared" si="10"/>
        <v>1.1000000000000001</v>
      </c>
      <c r="D116" s="27">
        <f t="shared" si="10"/>
        <v>73</v>
      </c>
      <c r="E116" s="35">
        <f t="shared" si="11"/>
        <v>298.24376780264862</v>
      </c>
      <c r="F116" s="26">
        <f t="shared" si="12"/>
        <v>2.3864209266303718</v>
      </c>
      <c r="G116" s="26">
        <f t="shared" si="13"/>
        <v>5</v>
      </c>
      <c r="H116" s="27">
        <f t="shared" si="14"/>
        <v>150</v>
      </c>
      <c r="I116" s="43">
        <v>110</v>
      </c>
      <c r="J116" s="44">
        <f t="shared" si="16"/>
        <v>2.4606287979854335</v>
      </c>
      <c r="K116" s="45"/>
    </row>
    <row r="117" spans="1:11" x14ac:dyDescent="0.25">
      <c r="A117" s="32">
        <f t="shared" si="9"/>
        <v>25</v>
      </c>
      <c r="B117" s="33">
        <f t="shared" si="8"/>
        <v>298</v>
      </c>
      <c r="C117" s="34">
        <f t="shared" si="10"/>
        <v>1.1000000000000001</v>
      </c>
      <c r="D117" s="27">
        <f t="shared" si="10"/>
        <v>73</v>
      </c>
      <c r="E117" s="35">
        <f t="shared" si="11"/>
        <v>298.24045128541485</v>
      </c>
      <c r="F117" s="26">
        <f t="shared" si="12"/>
        <v>2.3701314274564429</v>
      </c>
      <c r="G117" s="26">
        <f t="shared" si="13"/>
        <v>5</v>
      </c>
      <c r="H117" s="27">
        <f t="shared" si="14"/>
        <v>150</v>
      </c>
      <c r="I117" s="43">
        <v>111</v>
      </c>
      <c r="J117" s="44">
        <f t="shared" si="16"/>
        <v>2.4135296431095514</v>
      </c>
      <c r="K117" s="45"/>
    </row>
    <row r="118" spans="1:11" x14ac:dyDescent="0.25">
      <c r="A118" s="32">
        <f t="shared" si="9"/>
        <v>25</v>
      </c>
      <c r="B118" s="33">
        <f t="shared" si="8"/>
        <v>298</v>
      </c>
      <c r="C118" s="34">
        <f t="shared" si="10"/>
        <v>1.1000000000000001</v>
      </c>
      <c r="D118" s="27">
        <f t="shared" si="10"/>
        <v>73</v>
      </c>
      <c r="E118" s="35">
        <f t="shared" si="11"/>
        <v>298.2371798901637</v>
      </c>
      <c r="F118" s="26">
        <f t="shared" si="12"/>
        <v>2.3539531189698106</v>
      </c>
      <c r="G118" s="26">
        <f t="shared" si="13"/>
        <v>5</v>
      </c>
      <c r="H118" s="27">
        <f t="shared" si="14"/>
        <v>150</v>
      </c>
      <c r="I118" s="43">
        <v>112</v>
      </c>
      <c r="J118" s="44">
        <f t="shared" si="16"/>
        <v>2.3669475679050738</v>
      </c>
      <c r="K118" s="45"/>
    </row>
    <row r="119" spans="1:11" x14ac:dyDescent="0.25">
      <c r="A119" s="32">
        <f t="shared" si="9"/>
        <v>25</v>
      </c>
      <c r="B119" s="33">
        <f t="shared" si="8"/>
        <v>298</v>
      </c>
      <c r="C119" s="34">
        <f t="shared" si="10"/>
        <v>1.1000000000000001</v>
      </c>
      <c r="D119" s="27">
        <f t="shared" si="10"/>
        <v>73</v>
      </c>
      <c r="E119" s="35">
        <f t="shared" si="11"/>
        <v>298.23395300300024</v>
      </c>
      <c r="F119" s="26">
        <f t="shared" si="12"/>
        <v>2.3378852421928835</v>
      </c>
      <c r="G119" s="26">
        <f t="shared" si="13"/>
        <v>5</v>
      </c>
      <c r="H119" s="27">
        <f t="shared" si="14"/>
        <v>150</v>
      </c>
      <c r="I119" s="29">
        <v>113</v>
      </c>
      <c r="J119" s="30">
        <f t="shared" si="16"/>
        <v>2.3208812298294377</v>
      </c>
      <c r="K119" s="45"/>
    </row>
    <row r="120" spans="1:11" x14ac:dyDescent="0.25">
      <c r="A120" s="32">
        <f t="shared" si="9"/>
        <v>25</v>
      </c>
      <c r="B120" s="33">
        <f t="shared" si="8"/>
        <v>298</v>
      </c>
      <c r="C120" s="34">
        <f t="shared" si="10"/>
        <v>1.1000000000000001</v>
      </c>
      <c r="D120" s="27">
        <f t="shared" si="10"/>
        <v>73</v>
      </c>
      <c r="E120" s="35">
        <f t="shared" si="11"/>
        <v>298.23077001838163</v>
      </c>
      <c r="F120" s="26">
        <f t="shared" si="12"/>
        <v>2.3219270433284609</v>
      </c>
      <c r="G120" s="26">
        <f t="shared" si="13"/>
        <v>5</v>
      </c>
      <c r="H120" s="27">
        <f t="shared" si="14"/>
        <v>150</v>
      </c>
      <c r="I120" s="29">
        <v>114</v>
      </c>
      <c r="J120" s="30">
        <f t="shared" si="16"/>
        <v>2.2753291472813277</v>
      </c>
      <c r="K120" s="45"/>
    </row>
    <row r="121" spans="1:11" x14ac:dyDescent="0.25">
      <c r="A121" s="32">
        <f t="shared" si="9"/>
        <v>25</v>
      </c>
      <c r="B121" s="33">
        <f t="shared" si="8"/>
        <v>298</v>
      </c>
      <c r="C121" s="34">
        <f t="shared" si="10"/>
        <v>1.1000000000000001</v>
      </c>
      <c r="D121" s="27">
        <f t="shared" si="10"/>
        <v>73</v>
      </c>
      <c r="E121" s="35">
        <f t="shared" si="11"/>
        <v>298.22763033900361</v>
      </c>
      <c r="F121" s="26">
        <f t="shared" si="12"/>
        <v>2.3060777737246636</v>
      </c>
      <c r="G121" s="26">
        <f t="shared" si="13"/>
        <v>5</v>
      </c>
      <c r="H121" s="27">
        <f t="shared" si="14"/>
        <v>150</v>
      </c>
      <c r="I121" s="43">
        <v>115</v>
      </c>
      <c r="J121" s="44">
        <f t="shared" si="16"/>
        <v>2.2302897053112587</v>
      </c>
      <c r="K121" s="45"/>
    </row>
    <row r="122" spans="1:11" x14ac:dyDescent="0.25">
      <c r="A122" s="32">
        <f t="shared" si="9"/>
        <v>25</v>
      </c>
      <c r="B122" s="33">
        <f t="shared" si="8"/>
        <v>298</v>
      </c>
      <c r="C122" s="34">
        <f t="shared" si="10"/>
        <v>1.1000000000000001</v>
      </c>
      <c r="D122" s="27">
        <f t="shared" si="10"/>
        <v>73</v>
      </c>
      <c r="E122" s="35">
        <f t="shared" si="11"/>
        <v>298.2245333756884</v>
      </c>
      <c r="F122" s="26">
        <f t="shared" si="12"/>
        <v>2.2903366898400637</v>
      </c>
      <c r="G122" s="26">
        <f t="shared" si="13"/>
        <v>5</v>
      </c>
      <c r="H122" s="27">
        <f t="shared" si="14"/>
        <v>150</v>
      </c>
      <c r="I122" s="43">
        <v>116</v>
      </c>
      <c r="J122" s="44">
        <f t="shared" si="16"/>
        <v>2.1857611611666869</v>
      </c>
      <c r="K122" s="45"/>
    </row>
    <row r="123" spans="1:11" x14ac:dyDescent="0.25">
      <c r="A123" s="32">
        <f t="shared" si="9"/>
        <v>25</v>
      </c>
      <c r="B123" s="33">
        <f t="shared" si="8"/>
        <v>298</v>
      </c>
      <c r="C123" s="34">
        <f t="shared" si="10"/>
        <v>1.1000000000000001</v>
      </c>
      <c r="D123" s="27">
        <f t="shared" si="10"/>
        <v>73</v>
      </c>
      <c r="E123" s="35">
        <f t="shared" si="11"/>
        <v>298.2214785472741</v>
      </c>
      <c r="F123" s="26">
        <f t="shared" si="12"/>
        <v>2.2747030532085253</v>
      </c>
      <c r="G123" s="26">
        <f t="shared" si="13"/>
        <v>5</v>
      </c>
      <c r="H123" s="27">
        <f t="shared" si="14"/>
        <v>150</v>
      </c>
      <c r="I123" s="43">
        <v>117</v>
      </c>
      <c r="J123" s="44">
        <f t="shared" si="16"/>
        <v>2.1417416496755046</v>
      </c>
      <c r="K123" s="45"/>
    </row>
    <row r="124" spans="1:11" x14ac:dyDescent="0.25">
      <c r="A124" s="32">
        <f t="shared" si="9"/>
        <v>25</v>
      </c>
      <c r="B124" s="33">
        <f t="shared" si="8"/>
        <v>298</v>
      </c>
      <c r="C124" s="34">
        <f t="shared" si="10"/>
        <v>1.1000000000000001</v>
      </c>
      <c r="D124" s="27">
        <f t="shared" si="10"/>
        <v>73</v>
      </c>
      <c r="E124" s="35">
        <f t="shared" si="11"/>
        <v>298.21846528050565</v>
      </c>
      <c r="F124" s="26">
        <f t="shared" si="12"/>
        <v>2.2591761304044331</v>
      </c>
      <c r="G124" s="26">
        <f t="shared" si="13"/>
        <v>5</v>
      </c>
      <c r="H124" s="27">
        <f t="shared" si="14"/>
        <v>150</v>
      </c>
      <c r="I124" s="43">
        <v>118</v>
      </c>
      <c r="J124" s="44">
        <f t="shared" si="16"/>
        <v>2.0982291884725073</v>
      </c>
      <c r="K124" s="45"/>
    </row>
    <row r="125" spans="1:11" x14ac:dyDescent="0.25">
      <c r="A125" s="32">
        <f t="shared" si="9"/>
        <v>25</v>
      </c>
      <c r="B125" s="33">
        <f t="shared" si="8"/>
        <v>298</v>
      </c>
      <c r="C125" s="34">
        <f t="shared" si="10"/>
        <v>1.1000000000000001</v>
      </c>
      <c r="D125" s="27">
        <f t="shared" si="10"/>
        <v>73</v>
      </c>
      <c r="E125" s="35">
        <f t="shared" si="11"/>
        <v>298.21549300992723</v>
      </c>
      <c r="F125" s="26">
        <f t="shared" si="12"/>
        <v>2.2437551930084192</v>
      </c>
      <c r="G125" s="26">
        <f t="shared" si="13"/>
        <v>5</v>
      </c>
      <c r="H125" s="27">
        <f t="shared" si="14"/>
        <v>150</v>
      </c>
      <c r="I125" s="29">
        <v>119</v>
      </c>
      <c r="J125" s="30">
        <f t="shared" si="16"/>
        <v>2.0552216830725416</v>
      </c>
      <c r="K125" s="45"/>
    </row>
    <row r="126" spans="1:11" x14ac:dyDescent="0.25">
      <c r="A126" s="32">
        <f t="shared" si="9"/>
        <v>25</v>
      </c>
      <c r="B126" s="33">
        <f t="shared" si="8"/>
        <v>298</v>
      </c>
      <c r="C126" s="34">
        <f t="shared" si="10"/>
        <v>1.1000000000000001</v>
      </c>
      <c r="D126" s="27">
        <f t="shared" si="10"/>
        <v>73</v>
      </c>
      <c r="E126" s="35">
        <f t="shared" si="11"/>
        <v>298.21256117777625</v>
      </c>
      <c r="F126" s="26">
        <f t="shared" si="12"/>
        <v>2.2284395175736997</v>
      </c>
      <c r="G126" s="26">
        <f t="shared" si="13"/>
        <v>5</v>
      </c>
      <c r="H126" s="27">
        <f t="shared" si="14"/>
        <v>150</v>
      </c>
      <c r="I126" s="43">
        <v>120</v>
      </c>
      <c r="J126" s="44">
        <f t="shared" si="16"/>
        <v>2.0127169317947042</v>
      </c>
      <c r="K126" s="45"/>
    </row>
    <row r="127" spans="1:11" x14ac:dyDescent="0.25">
      <c r="A127" s="32">
        <f t="shared" si="9"/>
        <v>25</v>
      </c>
      <c r="B127" s="33">
        <f t="shared" si="8"/>
        <v>298</v>
      </c>
      <c r="C127" s="34">
        <f t="shared" si="10"/>
        <v>1.1000000000000001</v>
      </c>
      <c r="D127" s="27">
        <f t="shared" si="10"/>
        <v>73</v>
      </c>
      <c r="E127" s="35">
        <f t="shared" si="11"/>
        <v>298.20966923387851</v>
      </c>
      <c r="F127" s="26">
        <f t="shared" si="12"/>
        <v>2.2132283855910511</v>
      </c>
      <c r="G127" s="26">
        <f t="shared" si="13"/>
        <v>5</v>
      </c>
      <c r="H127" s="27">
        <f t="shared" si="14"/>
        <v>150</v>
      </c>
      <c r="I127" s="43">
        <v>121</v>
      </c>
      <c r="J127" s="44">
        <f t="shared" si="16"/>
        <v>1.970712630540947</v>
      </c>
      <c r="K127" s="45"/>
    </row>
    <row r="128" spans="1:11" x14ac:dyDescent="0.25">
      <c r="A128" s="32">
        <f t="shared" si="9"/>
        <v>25</v>
      </c>
      <c r="B128" s="33">
        <f t="shared" si="8"/>
        <v>298</v>
      </c>
      <c r="C128" s="34">
        <f t="shared" si="10"/>
        <v>1.1000000000000001</v>
      </c>
      <c r="D128" s="27">
        <f t="shared" si="10"/>
        <v>73</v>
      </c>
      <c r="E128" s="35">
        <f t="shared" si="11"/>
        <v>298.20681663554524</v>
      </c>
      <c r="F128" s="26">
        <f t="shared" si="12"/>
        <v>2.1981210834566705</v>
      </c>
      <c r="G128" s="26">
        <f t="shared" si="13"/>
        <v>5</v>
      </c>
      <c r="H128" s="27">
        <f t="shared" si="14"/>
        <v>150</v>
      </c>
      <c r="I128" s="43">
        <v>122</v>
      </c>
      <c r="J128" s="44">
        <f t="shared" si="16"/>
        <v>1.9292063774334045</v>
      </c>
      <c r="K128" s="45"/>
    </row>
    <row r="129" spans="1:11" x14ac:dyDescent="0.25">
      <c r="A129" s="32">
        <f t="shared" si="9"/>
        <v>25</v>
      </c>
      <c r="B129" s="33">
        <f t="shared" si="8"/>
        <v>298</v>
      </c>
      <c r="C129" s="34">
        <f t="shared" si="10"/>
        <v>1.1000000000000001</v>
      </c>
      <c r="D129" s="27">
        <f t="shared" si="10"/>
        <v>73</v>
      </c>
      <c r="E129" s="35">
        <f t="shared" si="11"/>
        <v>298.2040028474708</v>
      </c>
      <c r="F129" s="26">
        <f t="shared" si="12"/>
        <v>2.1831169024364714</v>
      </c>
      <c r="G129" s="26">
        <f t="shared" si="13"/>
        <v>5</v>
      </c>
      <c r="H129" s="27">
        <f t="shared" si="14"/>
        <v>150</v>
      </c>
      <c r="I129" s="43">
        <v>123</v>
      </c>
      <c r="J129" s="44">
        <f t="shared" si="16"/>
        <v>1.8881956773135768</v>
      </c>
      <c r="K129" s="45"/>
    </row>
    <row r="130" spans="1:11" x14ac:dyDescent="0.25">
      <c r="A130" s="32">
        <f t="shared" si="9"/>
        <v>25</v>
      </c>
      <c r="B130" s="33">
        <f t="shared" si="8"/>
        <v>298</v>
      </c>
      <c r="C130" s="34">
        <f t="shared" si="10"/>
        <v>1.1000000000000001</v>
      </c>
      <c r="D130" s="27">
        <f t="shared" si="10"/>
        <v>73</v>
      </c>
      <c r="E130" s="35">
        <f t="shared" si="11"/>
        <v>298.20122734163283</v>
      </c>
      <c r="F130" s="26">
        <f t="shared" si="12"/>
        <v>2.1682151386356003</v>
      </c>
      <c r="G130" s="26">
        <f t="shared" si="13"/>
        <v>5</v>
      </c>
      <c r="H130" s="27">
        <f t="shared" si="14"/>
        <v>150</v>
      </c>
      <c r="I130" s="43">
        <v>124</v>
      </c>
      <c r="J130" s="44">
        <f t="shared" si="16"/>
        <v>1.8476779461073778</v>
      </c>
      <c r="K130" s="45"/>
    </row>
    <row r="131" spans="1:11" x14ac:dyDescent="0.25">
      <c r="A131" s="32">
        <f t="shared" si="9"/>
        <v>25</v>
      </c>
      <c r="B131" s="33">
        <f t="shared" si="8"/>
        <v>298</v>
      </c>
      <c r="C131" s="34">
        <f t="shared" si="10"/>
        <v>1.1000000000000001</v>
      </c>
      <c r="D131" s="27">
        <f t="shared" si="10"/>
        <v>73</v>
      </c>
      <c r="E131" s="35">
        <f t="shared" si="11"/>
        <v>298.19848959719246</v>
      </c>
      <c r="F131" s="26">
        <f t="shared" si="12"/>
        <v>2.1534150929621236</v>
      </c>
      <c r="G131" s="26">
        <f t="shared" si="13"/>
        <v>5</v>
      </c>
      <c r="H131" s="27">
        <f t="shared" si="14"/>
        <v>150</v>
      </c>
      <c r="I131" s="43">
        <v>125</v>
      </c>
      <c r="J131" s="44">
        <f t="shared" si="16"/>
        <v>1.807650515059346</v>
      </c>
      <c r="K131" s="45"/>
    </row>
    <row r="132" spans="1:11" x14ac:dyDescent="0.25">
      <c r="A132" s="32">
        <f t="shared" si="9"/>
        <v>25</v>
      </c>
      <c r="B132" s="33">
        <f t="shared" si="8"/>
        <v>298</v>
      </c>
      <c r="C132" s="34">
        <f t="shared" si="10"/>
        <v>1.1000000000000001</v>
      </c>
      <c r="D132" s="27">
        <f t="shared" si="10"/>
        <v>73</v>
      </c>
      <c r="E132" s="35">
        <f t="shared" si="11"/>
        <v>298.19578910039735</v>
      </c>
      <c r="F132" s="26">
        <f t="shared" si="12"/>
        <v>2.1387160710980218</v>
      </c>
      <c r="G132" s="26">
        <f t="shared" si="13"/>
        <v>5</v>
      </c>
      <c r="H132" s="27">
        <f t="shared" si="14"/>
        <v>150</v>
      </c>
      <c r="I132" s="29">
        <v>126</v>
      </c>
      <c r="J132" s="30">
        <f t="shared" si="16"/>
        <v>1.7681106348393731</v>
      </c>
      <c r="K132" s="45"/>
    </row>
    <row r="133" spans="1:11" x14ac:dyDescent="0.25">
      <c r="A133" s="32">
        <f t="shared" si="9"/>
        <v>25</v>
      </c>
      <c r="B133" s="33">
        <f t="shared" si="8"/>
        <v>298</v>
      </c>
      <c r="C133" s="34">
        <f t="shared" si="10"/>
        <v>1.1000000000000001</v>
      </c>
      <c r="D133" s="27">
        <f t="shared" si="10"/>
        <v>73</v>
      </c>
      <c r="E133" s="35">
        <f t="shared" si="11"/>
        <v>298.19312534448454</v>
      </c>
      <c r="F133" s="26">
        <f t="shared" si="12"/>
        <v>2.1241173834629477</v>
      </c>
      <c r="G133" s="26">
        <f t="shared" si="13"/>
        <v>5</v>
      </c>
      <c r="H133" s="27">
        <f t="shared" si="14"/>
        <v>150</v>
      </c>
      <c r="I133" s="43">
        <v>127</v>
      </c>
      <c r="J133" s="44">
        <f t="shared" si="16"/>
        <v>1.7290554795254598</v>
      </c>
      <c r="K133" s="45"/>
    </row>
    <row r="134" spans="1:11" x14ac:dyDescent="0.25">
      <c r="A134" s="32">
        <f t="shared" si="9"/>
        <v>25</v>
      </c>
      <c r="B134" s="33">
        <f t="shared" ref="B134:B197" si="17">A134+273</f>
        <v>298</v>
      </c>
      <c r="C134" s="34">
        <f t="shared" si="10"/>
        <v>1.1000000000000001</v>
      </c>
      <c r="D134" s="27">
        <f t="shared" si="10"/>
        <v>73</v>
      </c>
      <c r="E134" s="35">
        <f t="shared" si="11"/>
        <v>298.19049782958592</v>
      </c>
      <c r="F134" s="26">
        <f t="shared" si="12"/>
        <v>2.1096183451846375</v>
      </c>
      <c r="G134" s="26">
        <f t="shared" si="13"/>
        <v>5</v>
      </c>
      <c r="H134" s="27">
        <f t="shared" si="14"/>
        <v>150</v>
      </c>
      <c r="I134" s="43">
        <v>128</v>
      </c>
      <c r="J134" s="44">
        <f t="shared" si="16"/>
        <v>1.6904821504654952</v>
      </c>
      <c r="K134" s="45"/>
    </row>
    <row r="135" spans="1:11" x14ac:dyDescent="0.25">
      <c r="A135" s="32">
        <f t="shared" ref="A135:A198" si="18">A134</f>
        <v>25</v>
      </c>
      <c r="B135" s="33">
        <f t="shared" si="17"/>
        <v>298</v>
      </c>
      <c r="C135" s="34">
        <f t="shared" ref="C135:D198" si="19">C134</f>
        <v>1.1000000000000001</v>
      </c>
      <c r="D135" s="27">
        <f t="shared" si="19"/>
        <v>73</v>
      </c>
      <c r="E135" s="35">
        <f t="shared" ref="E135:E198" si="20">C135*EXP(-I135/D135)+B135</f>
        <v>298.18790606263417</v>
      </c>
      <c r="F135" s="26">
        <f t="shared" ref="F135:F198" si="21">11.8*SQRT((50*(E135-B135)/B135))</f>
        <v>2.0952182760656139</v>
      </c>
      <c r="G135" s="26">
        <f t="shared" ref="G135:G198" si="22">G134</f>
        <v>5</v>
      </c>
      <c r="H135" s="27">
        <f t="shared" ref="H135:H198" si="23">H134</f>
        <v>150</v>
      </c>
      <c r="I135" s="43">
        <v>129</v>
      </c>
      <c r="J135" s="44">
        <f t="shared" si="16"/>
        <v>1.6523876800214197</v>
      </c>
      <c r="K135" s="45"/>
    </row>
    <row r="136" spans="1:11" x14ac:dyDescent="0.25">
      <c r="A136" s="32">
        <f t="shared" si="18"/>
        <v>25</v>
      </c>
      <c r="B136" s="33">
        <f t="shared" si="17"/>
        <v>298</v>
      </c>
      <c r="C136" s="34">
        <f t="shared" si="19"/>
        <v>1.1000000000000001</v>
      </c>
      <c r="D136" s="27">
        <f t="shared" si="19"/>
        <v>73</v>
      </c>
      <c r="E136" s="35">
        <f t="shared" si="20"/>
        <v>298.18534955727011</v>
      </c>
      <c r="F136" s="26">
        <f t="shared" si="21"/>
        <v>2.0809165005505528</v>
      </c>
      <c r="G136" s="26">
        <f t="shared" si="22"/>
        <v>5</v>
      </c>
      <c r="H136" s="27">
        <f t="shared" si="23"/>
        <v>150</v>
      </c>
      <c r="I136" s="43">
        <v>130</v>
      </c>
      <c r="J136" s="44">
        <f t="shared" si="16"/>
        <v>1.6147690351988</v>
      </c>
      <c r="K136" s="45"/>
    </row>
    <row r="137" spans="1:11" x14ac:dyDescent="0.25">
      <c r="A137" s="32">
        <f t="shared" si="18"/>
        <v>25</v>
      </c>
      <c r="B137" s="33">
        <f t="shared" si="17"/>
        <v>298</v>
      </c>
      <c r="C137" s="34">
        <f t="shared" si="19"/>
        <v>1.1000000000000001</v>
      </c>
      <c r="D137" s="27">
        <f t="shared" si="19"/>
        <v>73</v>
      </c>
      <c r="E137" s="35">
        <f t="shared" si="20"/>
        <v>298.18282783375173</v>
      </c>
      <c r="F137" s="26">
        <f t="shared" si="21"/>
        <v>2.0667123476960421</v>
      </c>
      <c r="G137" s="26">
        <f t="shared" si="22"/>
        <v>5</v>
      </c>
      <c r="H137" s="27">
        <f t="shared" si="23"/>
        <v>150</v>
      </c>
      <c r="I137" s="43">
        <v>131</v>
      </c>
      <c r="J137" s="44">
        <f t="shared" si="16"/>
        <v>1.5776231211646501</v>
      </c>
      <c r="K137" s="45"/>
    </row>
    <row r="138" spans="1:11" x14ac:dyDescent="0.25">
      <c r="A138" s="32">
        <f t="shared" si="18"/>
        <v>25</v>
      </c>
      <c r="B138" s="33">
        <f t="shared" si="17"/>
        <v>298</v>
      </c>
      <c r="C138" s="34">
        <f t="shared" si="19"/>
        <v>1.1000000000000001</v>
      </c>
      <c r="D138" s="27">
        <f t="shared" si="19"/>
        <v>73</v>
      </c>
      <c r="E138" s="35">
        <f t="shared" si="20"/>
        <v>298.18034041886403</v>
      </c>
      <c r="F138" s="26">
        <f t="shared" si="21"/>
        <v>2.0526051511387258</v>
      </c>
      <c r="G138" s="26">
        <f t="shared" si="22"/>
        <v>5</v>
      </c>
      <c r="H138" s="27">
        <f t="shared" si="23"/>
        <v>150</v>
      </c>
      <c r="I138" s="43">
        <v>132</v>
      </c>
      <c r="J138" s="44">
        <f t="shared" si="16"/>
        <v>1.5409467846567324</v>
      </c>
      <c r="K138" s="45"/>
    </row>
    <row r="139" spans="1:11" x14ac:dyDescent="0.25">
      <c r="A139" s="32">
        <f t="shared" si="18"/>
        <v>25</v>
      </c>
      <c r="B139" s="33">
        <f t="shared" si="17"/>
        <v>298</v>
      </c>
      <c r="C139" s="34">
        <f t="shared" si="19"/>
        <v>1.1000000000000001</v>
      </c>
      <c r="D139" s="27">
        <f t="shared" si="19"/>
        <v>73</v>
      </c>
      <c r="E139" s="35">
        <f t="shared" si="20"/>
        <v>298.17788684583013</v>
      </c>
      <c r="F139" s="26">
        <f t="shared" si="21"/>
        <v>2.0385942490631415</v>
      </c>
      <c r="G139" s="26">
        <f t="shared" si="22"/>
        <v>5</v>
      </c>
      <c r="H139" s="27">
        <f t="shared" si="23"/>
        <v>150</v>
      </c>
      <c r="I139" s="43">
        <v>133</v>
      </c>
      <c r="J139" s="44">
        <f t="shared" si="16"/>
        <v>1.5047368172869064</v>
      </c>
      <c r="K139" s="45"/>
    </row>
    <row r="140" spans="1:11" x14ac:dyDescent="0.25">
      <c r="A140" s="32">
        <f t="shared" si="18"/>
        <v>25</v>
      </c>
      <c r="B140" s="33">
        <f t="shared" si="17"/>
        <v>298</v>
      </c>
      <c r="C140" s="34">
        <f t="shared" si="19"/>
        <v>1.1000000000000001</v>
      </c>
      <c r="D140" s="27">
        <f t="shared" si="19"/>
        <v>73</v>
      </c>
      <c r="E140" s="35">
        <f t="shared" si="20"/>
        <v>298.17546665422384</v>
      </c>
      <c r="F140" s="26">
        <f t="shared" si="21"/>
        <v>2.0246789841719495</v>
      </c>
      <c r="G140" s="26">
        <f t="shared" si="22"/>
        <v>5</v>
      </c>
      <c r="H140" s="27">
        <f t="shared" si="23"/>
        <v>150</v>
      </c>
      <c r="I140" s="29">
        <v>134</v>
      </c>
      <c r="J140" s="30">
        <f t="shared" si="16"/>
        <v>1.4689899587414206</v>
      </c>
      <c r="K140" s="45"/>
    </row>
    <row r="141" spans="1:11" x14ac:dyDescent="0.25">
      <c r="A141" s="32">
        <f t="shared" si="18"/>
        <v>25</v>
      </c>
      <c r="B141" s="33">
        <f t="shared" si="17"/>
        <v>298</v>
      </c>
      <c r="C141" s="34">
        <f t="shared" si="19"/>
        <v>1.1000000000000001</v>
      </c>
      <c r="D141" s="27">
        <f t="shared" si="19"/>
        <v>73</v>
      </c>
      <c r="E141" s="35">
        <f t="shared" si="20"/>
        <v>298.17307938988313</v>
      </c>
      <c r="F141" s="26">
        <f t="shared" si="21"/>
        <v>2.0108587036541214</v>
      </c>
      <c r="G141" s="26">
        <f t="shared" si="22"/>
        <v>5</v>
      </c>
      <c r="H141" s="27">
        <f t="shared" si="23"/>
        <v>150</v>
      </c>
      <c r="I141" s="43">
        <v>135</v>
      </c>
      <c r="J141" s="44">
        <f t="shared" si="16"/>
        <v>1.4337028998809727</v>
      </c>
      <c r="K141" s="45"/>
    </row>
    <row r="142" spans="1:11" x14ac:dyDescent="0.25">
      <c r="A142" s="32">
        <f t="shared" si="18"/>
        <v>25</v>
      </c>
      <c r="B142" s="33">
        <f t="shared" si="17"/>
        <v>298</v>
      </c>
      <c r="C142" s="34">
        <f t="shared" si="19"/>
        <v>1.1000000000000001</v>
      </c>
      <c r="D142" s="27">
        <f t="shared" si="19"/>
        <v>73</v>
      </c>
      <c r="E142" s="35">
        <f t="shared" si="20"/>
        <v>298.17072460482484</v>
      </c>
      <c r="F142" s="26">
        <f t="shared" si="21"/>
        <v>1.9971327591540782</v>
      </c>
      <c r="G142" s="26">
        <f t="shared" si="22"/>
        <v>5</v>
      </c>
      <c r="H142" s="27">
        <f t="shared" si="23"/>
        <v>150</v>
      </c>
      <c r="I142" s="43">
        <v>136</v>
      </c>
      <c r="J142" s="44">
        <f t="shared" si="16"/>
        <v>1.3988722857429914</v>
      </c>
      <c r="K142" s="45"/>
    </row>
    <row r="143" spans="1:11" x14ac:dyDescent="0.25">
      <c r="A143" s="32">
        <f t="shared" si="18"/>
        <v>25</v>
      </c>
      <c r="B143" s="33">
        <f t="shared" si="17"/>
        <v>298</v>
      </c>
      <c r="C143" s="34">
        <f t="shared" si="19"/>
        <v>1.1000000000000001</v>
      </c>
      <c r="D143" s="27">
        <f t="shared" si="19"/>
        <v>73</v>
      </c>
      <c r="E143" s="35">
        <f t="shared" si="20"/>
        <v>298.16840185716097</v>
      </c>
      <c r="F143" s="26">
        <f t="shared" si="21"/>
        <v>1.9835005067432285</v>
      </c>
      <c r="G143" s="26">
        <f t="shared" si="22"/>
        <v>5</v>
      </c>
      <c r="H143" s="27">
        <f t="shared" si="23"/>
        <v>150</v>
      </c>
      <c r="I143" s="43">
        <v>137</v>
      </c>
      <c r="J143" s="44">
        <f t="shared" si="16"/>
        <v>1.3644947184487612</v>
      </c>
      <c r="K143" s="45"/>
    </row>
    <row r="144" spans="1:11" x14ac:dyDescent="0.25">
      <c r="A144" s="32">
        <f t="shared" si="18"/>
        <v>25</v>
      </c>
      <c r="B144" s="33">
        <f t="shared" si="17"/>
        <v>298</v>
      </c>
      <c r="C144" s="34">
        <f t="shared" si="19"/>
        <v>1.1000000000000001</v>
      </c>
      <c r="D144" s="27">
        <f t="shared" si="19"/>
        <v>73</v>
      </c>
      <c r="E144" s="35">
        <f t="shared" si="20"/>
        <v>298.16611071101534</v>
      </c>
      <c r="F144" s="26">
        <f t="shared" si="21"/>
        <v>1.9699613068873807</v>
      </c>
      <c r="G144" s="26">
        <f t="shared" si="22"/>
        <v>5</v>
      </c>
      <c r="H144" s="27">
        <f t="shared" si="23"/>
        <v>150</v>
      </c>
      <c r="I144" s="43">
        <v>138</v>
      </c>
      <c r="J144" s="44">
        <f t="shared" si="16"/>
        <v>1.3305667600181159</v>
      </c>
      <c r="K144" s="45"/>
    </row>
    <row r="145" spans="1:11" x14ac:dyDescent="0.25">
      <c r="A145" s="32">
        <f t="shared" si="18"/>
        <v>25</v>
      </c>
      <c r="B145" s="33">
        <f t="shared" si="17"/>
        <v>298</v>
      </c>
      <c r="C145" s="34">
        <f t="shared" si="19"/>
        <v>1.1000000000000001</v>
      </c>
      <c r="D145" s="27">
        <f t="shared" si="19"/>
        <v>73</v>
      </c>
      <c r="E145" s="35">
        <f t="shared" si="20"/>
        <v>298.16385073644193</v>
      </c>
      <c r="F145" s="26">
        <f t="shared" si="21"/>
        <v>1.9565145244177033</v>
      </c>
      <c r="G145" s="26">
        <f t="shared" si="22"/>
        <v>5</v>
      </c>
      <c r="H145" s="27">
        <f t="shared" si="23"/>
        <v>150</v>
      </c>
      <c r="I145" s="43">
        <v>139</v>
      </c>
      <c r="J145" s="44">
        <f t="shared" si="16"/>
        <v>1.2970849350938043</v>
      </c>
      <c r="K145" s="45"/>
    </row>
    <row r="146" spans="1:11" x14ac:dyDescent="0.25">
      <c r="A146" s="32">
        <f t="shared" si="18"/>
        <v>25</v>
      </c>
      <c r="B146" s="33">
        <f t="shared" si="17"/>
        <v>298</v>
      </c>
      <c r="C146" s="34">
        <f t="shared" si="19"/>
        <v>1.1000000000000001</v>
      </c>
      <c r="D146" s="27">
        <f t="shared" si="19"/>
        <v>73</v>
      </c>
      <c r="E146" s="35">
        <f t="shared" si="20"/>
        <v>298.1616215093444</v>
      </c>
      <c r="F146" s="26">
        <f t="shared" si="21"/>
        <v>1.9431595285017351</v>
      </c>
      <c r="G146" s="26">
        <f t="shared" si="22"/>
        <v>5</v>
      </c>
      <c r="H146" s="27">
        <f t="shared" si="23"/>
        <v>150</v>
      </c>
      <c r="I146" s="43">
        <v>140</v>
      </c>
      <c r="J146" s="44">
        <f t="shared" si="16"/>
        <v>1.2640457335782906</v>
      </c>
      <c r="K146" s="45"/>
    </row>
    <row r="147" spans="1:11" x14ac:dyDescent="0.25">
      <c r="A147" s="32">
        <f t="shared" si="18"/>
        <v>25</v>
      </c>
      <c r="B147" s="33">
        <f t="shared" si="17"/>
        <v>298</v>
      </c>
      <c r="C147" s="34">
        <f t="shared" si="19"/>
        <v>1.1000000000000001</v>
      </c>
      <c r="D147" s="27">
        <f t="shared" si="19"/>
        <v>73</v>
      </c>
      <c r="E147" s="35">
        <f t="shared" si="20"/>
        <v>298.15942261139617</v>
      </c>
      <c r="F147" s="26">
        <f t="shared" si="21"/>
        <v>1.9298956926121151</v>
      </c>
      <c r="G147" s="26">
        <f t="shared" si="22"/>
        <v>5</v>
      </c>
      <c r="H147" s="27">
        <f t="shared" si="23"/>
        <v>150</v>
      </c>
      <c r="I147" s="43">
        <v>141</v>
      </c>
      <c r="J147" s="44">
        <f t="shared" si="16"/>
        <v>1.2314456131849636</v>
      </c>
      <c r="K147" s="45"/>
    </row>
    <row r="148" spans="1:11" x14ac:dyDescent="0.25">
      <c r="A148" s="32">
        <f t="shared" si="18"/>
        <v>25</v>
      </c>
      <c r="B148" s="33">
        <f t="shared" si="17"/>
        <v>298</v>
      </c>
      <c r="C148" s="34">
        <f t="shared" si="19"/>
        <v>1.1000000000000001</v>
      </c>
      <c r="D148" s="27">
        <f t="shared" si="19"/>
        <v>73</v>
      </c>
      <c r="E148" s="35">
        <f t="shared" si="20"/>
        <v>298.15725362996221</v>
      </c>
      <c r="F148" s="26">
        <f t="shared" si="21"/>
        <v>1.9167223944988954</v>
      </c>
      <c r="G148" s="26">
        <f t="shared" si="22"/>
        <v>5</v>
      </c>
      <c r="H148" s="27">
        <f t="shared" si="23"/>
        <v>150</v>
      </c>
      <c r="I148" s="43">
        <v>142</v>
      </c>
      <c r="J148" s="44">
        <f t="shared" si="16"/>
        <v>1.1992810019063485</v>
      </c>
      <c r="K148" s="45"/>
    </row>
    <row r="149" spans="1:11" x14ac:dyDescent="0.25">
      <c r="A149" s="32">
        <f t="shared" si="18"/>
        <v>25</v>
      </c>
      <c r="B149" s="33">
        <f t="shared" si="17"/>
        <v>298</v>
      </c>
      <c r="C149" s="34">
        <f t="shared" si="19"/>
        <v>1.1000000000000001</v>
      </c>
      <c r="D149" s="27">
        <f t="shared" si="19"/>
        <v>73</v>
      </c>
      <c r="E149" s="35">
        <f t="shared" si="20"/>
        <v>298.15511415802138</v>
      </c>
      <c r="F149" s="26">
        <f t="shared" si="21"/>
        <v>1.9036390161587078</v>
      </c>
      <c r="G149" s="26">
        <f t="shared" si="22"/>
        <v>5</v>
      </c>
      <c r="H149" s="27">
        <f t="shared" si="23"/>
        <v>150</v>
      </c>
      <c r="I149" s="43">
        <v>143</v>
      </c>
      <c r="J149" s="44">
        <f t="shared" si="16"/>
        <v>1.1675483004013509</v>
      </c>
      <c r="K149" s="45"/>
    </row>
    <row r="150" spans="1:11" x14ac:dyDescent="0.25">
      <c r="A150" s="32">
        <f t="shared" si="18"/>
        <v>25</v>
      </c>
      <c r="B150" s="33">
        <f t="shared" si="17"/>
        <v>298</v>
      </c>
      <c r="C150" s="34">
        <f t="shared" si="19"/>
        <v>1.1000000000000001</v>
      </c>
      <c r="D150" s="27">
        <f t="shared" si="19"/>
        <v>73</v>
      </c>
      <c r="E150" s="35">
        <f t="shared" si="20"/>
        <v>298.15300379409024</v>
      </c>
      <c r="F150" s="26">
        <f t="shared" si="21"/>
        <v>1.8906449438073878</v>
      </c>
      <c r="G150" s="26">
        <f t="shared" si="22"/>
        <v>5</v>
      </c>
      <c r="H150" s="27">
        <f t="shared" si="23"/>
        <v>150</v>
      </c>
      <c r="I150" s="43">
        <v>144</v>
      </c>
      <c r="J150" s="44">
        <f t="shared" si="16"/>
        <v>1.1362438843037728</v>
      </c>
      <c r="K150" s="45"/>
    </row>
    <row r="151" spans="1:11" x14ac:dyDescent="0.25">
      <c r="A151" s="32">
        <f t="shared" si="18"/>
        <v>25</v>
      </c>
      <c r="B151" s="33">
        <f t="shared" si="17"/>
        <v>298</v>
      </c>
      <c r="C151" s="34">
        <f t="shared" si="19"/>
        <v>1.1000000000000001</v>
      </c>
      <c r="D151" s="27">
        <f t="shared" si="19"/>
        <v>73</v>
      </c>
      <c r="E151" s="35">
        <f t="shared" si="20"/>
        <v>298.15092214214764</v>
      </c>
      <c r="F151" s="26">
        <f t="shared" si="21"/>
        <v>1.8777395678502908</v>
      </c>
      <c r="G151" s="26">
        <f t="shared" si="22"/>
        <v>5</v>
      </c>
      <c r="H151" s="27">
        <f t="shared" si="23"/>
        <v>150</v>
      </c>
      <c r="I151" s="43">
        <v>145</v>
      </c>
      <c r="J151" s="44">
        <f t="shared" si="16"/>
        <v>1.105364106454179</v>
      </c>
      <c r="K151" s="45"/>
    </row>
    <row r="152" spans="1:11" x14ac:dyDescent="0.25">
      <c r="A152" s="32">
        <f t="shared" si="18"/>
        <v>25</v>
      </c>
      <c r="B152" s="33">
        <f t="shared" si="17"/>
        <v>298</v>
      </c>
      <c r="C152" s="34">
        <f t="shared" si="19"/>
        <v>1.1000000000000001</v>
      </c>
      <c r="D152" s="27">
        <f t="shared" si="19"/>
        <v>73</v>
      </c>
      <c r="E152" s="35">
        <f t="shared" si="20"/>
        <v>298.14886881156025</v>
      </c>
      <c r="F152" s="26">
        <f t="shared" si="21"/>
        <v>1.8649222828531085</v>
      </c>
      <c r="G152" s="26">
        <f t="shared" si="22"/>
        <v>5</v>
      </c>
      <c r="H152" s="27">
        <f t="shared" si="23"/>
        <v>150</v>
      </c>
      <c r="I152" s="43">
        <v>146</v>
      </c>
      <c r="J152" s="44">
        <f t="shared" si="16"/>
        <v>1.074905299057179</v>
      </c>
      <c r="K152" s="45"/>
    </row>
    <row r="153" spans="1:11" x14ac:dyDescent="0.25">
      <c r="A153" s="32">
        <f t="shared" si="18"/>
        <v>25</v>
      </c>
      <c r="B153" s="33">
        <f t="shared" si="17"/>
        <v>298</v>
      </c>
      <c r="C153" s="34">
        <f t="shared" si="19"/>
        <v>1.1000000000000001</v>
      </c>
      <c r="D153" s="27">
        <f t="shared" si="19"/>
        <v>73</v>
      </c>
      <c r="E153" s="35">
        <f t="shared" si="20"/>
        <v>298.14684341700962</v>
      </c>
      <c r="F153" s="26">
        <f t="shared" si="21"/>
        <v>1.8521924875154432</v>
      </c>
      <c r="G153" s="26">
        <f t="shared" si="22"/>
        <v>5</v>
      </c>
      <c r="H153" s="27">
        <f t="shared" si="23"/>
        <v>150</v>
      </c>
      <c r="I153" s="29">
        <v>147</v>
      </c>
      <c r="J153" s="30">
        <f t="shared" si="16"/>
        <v>1.0448637757661277</v>
      </c>
      <c r="K153" s="45"/>
    </row>
    <row r="154" spans="1:11" x14ac:dyDescent="0.25">
      <c r="A154" s="32">
        <f t="shared" si="18"/>
        <v>25</v>
      </c>
      <c r="B154" s="33">
        <f t="shared" si="17"/>
        <v>298</v>
      </c>
      <c r="C154" s="34">
        <f t="shared" si="19"/>
        <v>1.1000000000000001</v>
      </c>
      <c r="D154" s="27">
        <f t="shared" si="19"/>
        <v>73</v>
      </c>
      <c r="E154" s="35">
        <f t="shared" si="20"/>
        <v>298.14484557841945</v>
      </c>
      <c r="F154" s="26">
        <f t="shared" si="21"/>
        <v>1.8395495846401331</v>
      </c>
      <c r="G154" s="26">
        <f t="shared" si="22"/>
        <v>5</v>
      </c>
      <c r="H154" s="27">
        <f t="shared" si="23"/>
        <v>150</v>
      </c>
      <c r="I154" s="43">
        <v>148</v>
      </c>
      <c r="J154" s="44">
        <f t="shared" si="16"/>
        <v>1.0152358336972769</v>
      </c>
      <c r="K154" s="45"/>
    </row>
    <row r="155" spans="1:11" x14ac:dyDescent="0.25">
      <c r="A155" s="32">
        <f t="shared" si="18"/>
        <v>25</v>
      </c>
      <c r="B155" s="33">
        <f t="shared" si="17"/>
        <v>298</v>
      </c>
      <c r="C155" s="34">
        <f t="shared" si="19"/>
        <v>1.1000000000000001</v>
      </c>
      <c r="D155" s="27">
        <f t="shared" si="19"/>
        <v>73</v>
      </c>
      <c r="E155" s="35">
        <f t="shared" si="20"/>
        <v>298.14287492088448</v>
      </c>
      <c r="F155" s="26">
        <f t="shared" si="21"/>
        <v>1.8269929811065497</v>
      </c>
      <c r="G155" s="26">
        <f t="shared" si="22"/>
        <v>5</v>
      </c>
      <c r="H155" s="27">
        <f t="shared" si="23"/>
        <v>150</v>
      </c>
      <c r="I155" s="43">
        <v>149</v>
      </c>
      <c r="J155" s="44">
        <f t="shared" si="16"/>
        <v>0.98601775537517999</v>
      </c>
      <c r="K155" s="45"/>
    </row>
    <row r="156" spans="1:11" x14ac:dyDescent="0.25">
      <c r="A156" s="32">
        <f t="shared" si="18"/>
        <v>25</v>
      </c>
      <c r="B156" s="33">
        <f t="shared" si="17"/>
        <v>298</v>
      </c>
      <c r="C156" s="34">
        <f t="shared" si="19"/>
        <v>1.1000000000000001</v>
      </c>
      <c r="D156" s="27">
        <f t="shared" si="19"/>
        <v>73</v>
      </c>
      <c r="E156" s="35">
        <f t="shared" si="20"/>
        <v>298.1409310746003</v>
      </c>
      <c r="F156" s="26">
        <f t="shared" si="21"/>
        <v>1.8145220878437522</v>
      </c>
      <c r="G156" s="26">
        <f t="shared" si="22"/>
        <v>5</v>
      </c>
      <c r="H156" s="27">
        <f t="shared" si="23"/>
        <v>150</v>
      </c>
      <c r="I156" s="43">
        <v>150</v>
      </c>
      <c r="J156" s="44">
        <f t="shared" si="16"/>
        <v>0.95720581061121557</v>
      </c>
      <c r="K156" s="45"/>
    </row>
    <row r="157" spans="1:11" x14ac:dyDescent="0.25">
      <c r="A157" s="32">
        <f t="shared" si="18"/>
        <v>25</v>
      </c>
      <c r="B157" s="33">
        <f t="shared" si="17"/>
        <v>298</v>
      </c>
      <c r="C157" s="34">
        <f t="shared" si="19"/>
        <v>1.1000000000000001</v>
      </c>
      <c r="D157" s="27">
        <f t="shared" si="19"/>
        <v>73</v>
      </c>
      <c r="E157" s="35">
        <f t="shared" si="20"/>
        <v>298.13901367479355</v>
      </c>
      <c r="F157" s="26">
        <f t="shared" si="21"/>
        <v>1.8021363198002456</v>
      </c>
      <c r="G157" s="26">
        <f t="shared" si="22"/>
        <v>5</v>
      </c>
      <c r="H157" s="27">
        <f t="shared" si="23"/>
        <v>150</v>
      </c>
      <c r="I157" s="43">
        <v>151</v>
      </c>
      <c r="J157" s="44">
        <f t="shared" si="16"/>
        <v>0.92879625831722312</v>
      </c>
      <c r="K157" s="45"/>
    </row>
    <row r="158" spans="1:11" x14ac:dyDescent="0.25">
      <c r="A158" s="32">
        <f t="shared" si="18"/>
        <v>25</v>
      </c>
      <c r="B158" s="33">
        <f t="shared" si="17"/>
        <v>298</v>
      </c>
      <c r="C158" s="34">
        <f t="shared" si="19"/>
        <v>1.1000000000000001</v>
      </c>
      <c r="D158" s="27">
        <f t="shared" si="19"/>
        <v>73</v>
      </c>
      <c r="E158" s="35">
        <f t="shared" si="20"/>
        <v>298.13712236165389</v>
      </c>
      <c r="F158" s="26">
        <f t="shared" si="21"/>
        <v>1.7898350959195297</v>
      </c>
      <c r="G158" s="26">
        <f t="shared" si="22"/>
        <v>5</v>
      </c>
      <c r="H158" s="27">
        <f t="shared" si="23"/>
        <v>150</v>
      </c>
      <c r="I158" s="43">
        <v>152</v>
      </c>
      <c r="J158" s="44">
        <f t="shared" si="16"/>
        <v>0.90078534825573009</v>
      </c>
      <c r="K158" s="45"/>
    </row>
    <row r="159" spans="1:11" x14ac:dyDescent="0.25">
      <c r="A159" s="32">
        <f t="shared" si="18"/>
        <v>25</v>
      </c>
      <c r="B159" s="33">
        <f t="shared" si="17"/>
        <v>298</v>
      </c>
      <c r="C159" s="34">
        <f t="shared" si="19"/>
        <v>1.1000000000000001</v>
      </c>
      <c r="D159" s="27">
        <f t="shared" si="19"/>
        <v>73</v>
      </c>
      <c r="E159" s="35">
        <f t="shared" si="20"/>
        <v>298.1352567802661</v>
      </c>
      <c r="F159" s="26">
        <f t="shared" si="21"/>
        <v>1.7776178391098396</v>
      </c>
      <c r="G159" s="26">
        <f t="shared" si="22"/>
        <v>5</v>
      </c>
      <c r="H159" s="27">
        <f t="shared" si="23"/>
        <v>150</v>
      </c>
      <c r="I159" s="43">
        <v>153</v>
      </c>
      <c r="J159" s="44">
        <f t="shared" si="16"/>
        <v>0.87316932272874648</v>
      </c>
      <c r="K159" s="45"/>
    </row>
    <row r="160" spans="1:11" x14ac:dyDescent="0.25">
      <c r="A160" s="32">
        <f t="shared" si="18"/>
        <v>25</v>
      </c>
      <c r="B160" s="33">
        <f t="shared" si="17"/>
        <v>298</v>
      </c>
      <c r="C160" s="34">
        <f t="shared" si="19"/>
        <v>1.1000000000000001</v>
      </c>
      <c r="D160" s="27">
        <f t="shared" si="19"/>
        <v>73</v>
      </c>
      <c r="E160" s="35">
        <f t="shared" si="20"/>
        <v>298.13341658054384</v>
      </c>
      <c r="F160" s="26">
        <f t="shared" si="21"/>
        <v>1.7654839762199057</v>
      </c>
      <c r="G160" s="26">
        <f t="shared" si="22"/>
        <v>5</v>
      </c>
      <c r="H160" s="27">
        <f t="shared" si="23"/>
        <v>150</v>
      </c>
      <c r="I160" s="43">
        <v>154</v>
      </c>
      <c r="J160" s="44">
        <f t="shared" si="16"/>
        <v>0.8459444182067456</v>
      </c>
      <c r="K160" s="45"/>
    </row>
    <row r="161" spans="1:11" x14ac:dyDescent="0.25">
      <c r="A161" s="32">
        <f t="shared" si="18"/>
        <v>25</v>
      </c>
      <c r="B161" s="33">
        <f t="shared" si="17"/>
        <v>298</v>
      </c>
      <c r="C161" s="34">
        <f t="shared" si="19"/>
        <v>1.1000000000000001</v>
      </c>
      <c r="D161" s="27">
        <f t="shared" si="19"/>
        <v>73</v>
      </c>
      <c r="E161" s="35">
        <f t="shared" si="20"/>
        <v>298.13160141716361</v>
      </c>
      <c r="F161" s="26">
        <f t="shared" si="21"/>
        <v>1.7534329380097362</v>
      </c>
      <c r="G161" s="26">
        <f t="shared" si="22"/>
        <v>5</v>
      </c>
      <c r="H161" s="27">
        <f t="shared" si="23"/>
        <v>150</v>
      </c>
      <c r="I161" s="43">
        <v>155</v>
      </c>
      <c r="J161" s="44">
        <f t="shared" si="16"/>
        <v>0.81910686689934653</v>
      </c>
      <c r="K161" s="45"/>
    </row>
    <row r="162" spans="1:11" x14ac:dyDescent="0.25">
      <c r="A162" s="32">
        <f t="shared" si="18"/>
        <v>25</v>
      </c>
      <c r="B162" s="33">
        <f t="shared" si="17"/>
        <v>298</v>
      </c>
      <c r="C162" s="34">
        <f t="shared" si="19"/>
        <v>1.1000000000000001</v>
      </c>
      <c r="D162" s="27">
        <f t="shared" si="19"/>
        <v>73</v>
      </c>
      <c r="E162" s="35">
        <f t="shared" si="20"/>
        <v>298.12981094950021</v>
      </c>
      <c r="F162" s="26">
        <f t="shared" si="21"/>
        <v>1.7414641591254039</v>
      </c>
      <c r="G162" s="26">
        <f t="shared" si="22"/>
        <v>5</v>
      </c>
      <c r="H162" s="27">
        <f t="shared" si="23"/>
        <v>150</v>
      </c>
      <c r="I162" s="43">
        <v>156</v>
      </c>
      <c r="J162" s="44">
        <f t="shared" si="16"/>
        <v>0.79265289826949092</v>
      </c>
      <c r="K162" s="45"/>
    </row>
    <row r="163" spans="1:11" x14ac:dyDescent="0.25">
      <c r="A163" s="32">
        <f t="shared" si="18"/>
        <v>25</v>
      </c>
      <c r="B163" s="33">
        <f t="shared" si="17"/>
        <v>298</v>
      </c>
      <c r="C163" s="34">
        <f t="shared" si="19"/>
        <v>1.1000000000000001</v>
      </c>
      <c r="D163" s="27">
        <f t="shared" si="19"/>
        <v>73</v>
      </c>
      <c r="E163" s="35">
        <f t="shared" si="20"/>
        <v>298.12804484156283</v>
      </c>
      <c r="F163" s="26">
        <f t="shared" si="21"/>
        <v>1.7295770780727309</v>
      </c>
      <c r="G163" s="26">
        <f t="shared" si="22"/>
        <v>5</v>
      </c>
      <c r="H163" s="27">
        <f t="shared" si="23"/>
        <v>150</v>
      </c>
      <c r="I163" s="43">
        <v>157</v>
      </c>
      <c r="J163" s="44">
        <f t="shared" si="16"/>
        <v>0.76657874049254648</v>
      </c>
      <c r="K163" s="45"/>
    </row>
    <row r="164" spans="1:11" x14ac:dyDescent="0.25">
      <c r="A164" s="32">
        <f t="shared" si="18"/>
        <v>25</v>
      </c>
      <c r="B164" s="33">
        <f t="shared" si="17"/>
        <v>298</v>
      </c>
      <c r="C164" s="34">
        <f t="shared" si="19"/>
        <v>1.1000000000000001</v>
      </c>
      <c r="D164" s="27">
        <f t="shared" si="19"/>
        <v>73</v>
      </c>
      <c r="E164" s="35">
        <f t="shared" si="20"/>
        <v>298.12630276193158</v>
      </c>
      <c r="F164" s="26">
        <f t="shared" si="21"/>
        <v>1.7177711371883422</v>
      </c>
      <c r="G164" s="26">
        <f t="shared" si="22"/>
        <v>5</v>
      </c>
      <c r="H164" s="27">
        <f t="shared" si="23"/>
        <v>150</v>
      </c>
      <c r="I164" s="43">
        <v>158</v>
      </c>
      <c r="J164" s="44">
        <f t="shared" si="16"/>
        <v>0.74088062186193704</v>
      </c>
      <c r="K164" s="45"/>
    </row>
    <row r="165" spans="1:11" x14ac:dyDescent="0.25">
      <c r="A165" s="32">
        <f t="shared" si="18"/>
        <v>25</v>
      </c>
      <c r="B165" s="33">
        <f t="shared" si="17"/>
        <v>298</v>
      </c>
      <c r="C165" s="34">
        <f t="shared" si="19"/>
        <v>1.1000000000000001</v>
      </c>
      <c r="D165" s="27">
        <f t="shared" si="19"/>
        <v>73</v>
      </c>
      <c r="E165" s="35">
        <f t="shared" si="20"/>
        <v>298.12458438369595</v>
      </c>
      <c r="F165" s="26">
        <f t="shared" si="21"/>
        <v>1.7060457826173689</v>
      </c>
      <c r="G165" s="26">
        <f t="shared" si="22"/>
        <v>5</v>
      </c>
      <c r="H165" s="27">
        <f t="shared" si="23"/>
        <v>150</v>
      </c>
      <c r="I165" s="43">
        <v>159</v>
      </c>
      <c r="J165" s="44">
        <f t="shared" si="16"/>
        <v>0.71555477214267504</v>
      </c>
      <c r="K165" s="45"/>
    </row>
    <row r="166" spans="1:11" x14ac:dyDescent="0.25">
      <c r="A166" s="32">
        <f t="shared" si="18"/>
        <v>25</v>
      </c>
      <c r="B166" s="33">
        <f t="shared" si="17"/>
        <v>298</v>
      </c>
      <c r="C166" s="34">
        <f t="shared" si="19"/>
        <v>1.1000000000000001</v>
      </c>
      <c r="D166" s="27">
        <f t="shared" si="19"/>
        <v>73</v>
      </c>
      <c r="E166" s="35">
        <f t="shared" si="20"/>
        <v>298.12288938439298</v>
      </c>
      <c r="F166" s="26">
        <f t="shared" si="21"/>
        <v>1.6944004642848771</v>
      </c>
      <c r="G166" s="26">
        <f t="shared" si="22"/>
        <v>5</v>
      </c>
      <c r="H166" s="27">
        <f t="shared" si="23"/>
        <v>150</v>
      </c>
      <c r="I166" s="43">
        <v>160</v>
      </c>
      <c r="J166" s="44">
        <f t="shared" si="16"/>
        <v>0.69059742387439493</v>
      </c>
      <c r="K166" s="45"/>
    </row>
    <row r="167" spans="1:11" x14ac:dyDescent="0.25">
      <c r="A167" s="32">
        <f t="shared" si="18"/>
        <v>25</v>
      </c>
      <c r="B167" s="33">
        <f t="shared" si="17"/>
        <v>298</v>
      </c>
      <c r="C167" s="34">
        <f t="shared" si="19"/>
        <v>1.1000000000000001</v>
      </c>
      <c r="D167" s="27">
        <f t="shared" si="19"/>
        <v>73</v>
      </c>
      <c r="E167" s="35">
        <f t="shared" si="20"/>
        <v>298.1212174459468</v>
      </c>
      <c r="F167" s="26">
        <f t="shared" si="21"/>
        <v>1.6828346358698569</v>
      </c>
      <c r="G167" s="26">
        <f t="shared" si="22"/>
        <v>5</v>
      </c>
      <c r="H167" s="27">
        <f t="shared" si="23"/>
        <v>150</v>
      </c>
      <c r="I167" s="43">
        <v>161</v>
      </c>
      <c r="J167" s="44">
        <f t="shared" si="16"/>
        <v>0.66600481362515429</v>
      </c>
      <c r="K167" s="45"/>
    </row>
    <row r="168" spans="1:11" x14ac:dyDescent="0.25">
      <c r="A168" s="32">
        <f t="shared" si="18"/>
        <v>25</v>
      </c>
      <c r="B168" s="33">
        <f t="shared" si="17"/>
        <v>298</v>
      </c>
      <c r="C168" s="34">
        <f t="shared" si="19"/>
        <v>1.1000000000000001</v>
      </c>
      <c r="D168" s="27">
        <f t="shared" si="19"/>
        <v>73</v>
      </c>
      <c r="E168" s="35">
        <f t="shared" si="20"/>
        <v>298.11956825460919</v>
      </c>
      <c r="F168" s="26">
        <f t="shared" si="21"/>
        <v>1.6713477547815705</v>
      </c>
      <c r="G168" s="26">
        <f t="shared" si="22"/>
        <v>5</v>
      </c>
      <c r="H168" s="27">
        <f t="shared" si="23"/>
        <v>150</v>
      </c>
      <c r="I168" s="43">
        <v>162</v>
      </c>
      <c r="J168" s="44">
        <f t="shared" si="16"/>
        <v>0.64177318319749699</v>
      </c>
      <c r="K168" s="45"/>
    </row>
    <row r="169" spans="1:11" x14ac:dyDescent="0.25">
      <c r="A169" s="32">
        <f t="shared" si="18"/>
        <v>25</v>
      </c>
      <c r="B169" s="33">
        <f t="shared" si="17"/>
        <v>298</v>
      </c>
      <c r="C169" s="34">
        <f t="shared" si="19"/>
        <v>1.1000000000000001</v>
      </c>
      <c r="D169" s="27">
        <f t="shared" si="19"/>
        <v>73</v>
      </c>
      <c r="E169" s="35">
        <f t="shared" si="20"/>
        <v>298.11794150090049</v>
      </c>
      <c r="F169" s="26">
        <f t="shared" si="21"/>
        <v>1.6599392821324459</v>
      </c>
      <c r="G169" s="26">
        <f t="shared" si="22"/>
        <v>5</v>
      </c>
      <c r="H169" s="27">
        <f t="shared" si="23"/>
        <v>150</v>
      </c>
      <c r="I169" s="43">
        <v>163</v>
      </c>
      <c r="J169" s="44">
        <f t="shared" si="16"/>
        <v>0.61789878078808158</v>
      </c>
      <c r="K169" s="45"/>
    </row>
    <row r="170" spans="1:11" x14ac:dyDescent="0.25">
      <c r="A170" s="32">
        <f t="shared" si="18"/>
        <v>25</v>
      </c>
      <c r="B170" s="33">
        <f t="shared" si="17"/>
        <v>298</v>
      </c>
      <c r="C170" s="34">
        <f t="shared" si="19"/>
        <v>1.1000000000000001</v>
      </c>
      <c r="D170" s="27">
        <f t="shared" si="19"/>
        <v>73</v>
      </c>
      <c r="E170" s="35">
        <f t="shared" si="20"/>
        <v>298.11633687955151</v>
      </c>
      <c r="F170" s="26">
        <f t="shared" si="21"/>
        <v>1.6486086827130471</v>
      </c>
      <c r="G170" s="26">
        <f t="shared" si="22"/>
        <v>5</v>
      </c>
      <c r="H170" s="27">
        <f t="shared" si="23"/>
        <v>150</v>
      </c>
      <c r="I170" s="43">
        <v>164</v>
      </c>
      <c r="J170" s="44">
        <f t="shared" si="16"/>
        <v>0.59437786210202581</v>
      </c>
      <c r="K170" s="45"/>
    </row>
    <row r="171" spans="1:11" x14ac:dyDescent="0.25">
      <c r="A171" s="32">
        <f t="shared" si="18"/>
        <v>25</v>
      </c>
      <c r="B171" s="33">
        <f t="shared" si="17"/>
        <v>298</v>
      </c>
      <c r="C171" s="34">
        <f t="shared" si="19"/>
        <v>1.1000000000000001</v>
      </c>
      <c r="D171" s="27">
        <f t="shared" si="19"/>
        <v>73</v>
      </c>
      <c r="E171" s="35">
        <f t="shared" si="20"/>
        <v>298.11475408944654</v>
      </c>
      <c r="F171" s="26">
        <f t="shared" si="21"/>
        <v>1.6373554249684914</v>
      </c>
      <c r="G171" s="26">
        <f t="shared" si="22"/>
        <v>5</v>
      </c>
      <c r="H171" s="27">
        <f t="shared" si="23"/>
        <v>150</v>
      </c>
      <c r="I171" s="43">
        <v>165</v>
      </c>
      <c r="J171" s="44">
        <f t="shared" si="16"/>
        <v>0.57120669142364433</v>
      </c>
      <c r="K171" s="45"/>
    </row>
    <row r="172" spans="1:11" x14ac:dyDescent="0.25">
      <c r="A172" s="32">
        <f t="shared" si="18"/>
        <v>25</v>
      </c>
      <c r="B172" s="33">
        <f t="shared" si="17"/>
        <v>298</v>
      </c>
      <c r="C172" s="34">
        <f t="shared" si="19"/>
        <v>1.1000000000000001</v>
      </c>
      <c r="D172" s="27">
        <f t="shared" si="19"/>
        <v>73</v>
      </c>
      <c r="E172" s="35">
        <f t="shared" si="20"/>
        <v>298.1131928335663</v>
      </c>
      <c r="F172" s="26">
        <f t="shared" si="21"/>
        <v>1.6261789809703129</v>
      </c>
      <c r="G172" s="26">
        <f t="shared" si="22"/>
        <v>5</v>
      </c>
      <c r="H172" s="27">
        <f t="shared" si="23"/>
        <v>150</v>
      </c>
      <c r="I172" s="29">
        <v>166</v>
      </c>
      <c r="J172" s="30">
        <f t="shared" ref="J172:J235" si="24">(0.2*(4*(I172+73)+10)*EXP((-1/73*(I172+113)^1.05))-300/(I172^1.05+90)+0.1)*1.64</f>
        <v>0.54838154264430827</v>
      </c>
      <c r="K172" s="45"/>
    </row>
    <row r="173" spans="1:11" x14ac:dyDescent="0.25">
      <c r="A173" s="32">
        <f t="shared" si="18"/>
        <v>25</v>
      </c>
      <c r="B173" s="33">
        <f t="shared" si="17"/>
        <v>298</v>
      </c>
      <c r="C173" s="34">
        <f t="shared" si="19"/>
        <v>1.1000000000000001</v>
      </c>
      <c r="D173" s="27">
        <f t="shared" si="19"/>
        <v>73</v>
      </c>
      <c r="E173" s="35">
        <f t="shared" si="20"/>
        <v>298.11165281893278</v>
      </c>
      <c r="F173" s="26">
        <f t="shared" si="21"/>
        <v>1.6150788263951397</v>
      </c>
      <c r="G173" s="26">
        <f t="shared" si="22"/>
        <v>5</v>
      </c>
      <c r="H173" s="27">
        <f t="shared" si="23"/>
        <v>150</v>
      </c>
      <c r="I173" s="43">
        <v>167</v>
      </c>
      <c r="J173" s="44">
        <f t="shared" si="24"/>
        <v>0.52589870024903862</v>
      </c>
      <c r="K173" s="45"/>
    </row>
    <row r="174" spans="1:11" x14ac:dyDescent="0.25">
      <c r="A174" s="32">
        <f t="shared" si="18"/>
        <v>25</v>
      </c>
      <c r="B174" s="33">
        <f t="shared" si="17"/>
        <v>298</v>
      </c>
      <c r="C174" s="34">
        <f t="shared" si="19"/>
        <v>1.1000000000000001</v>
      </c>
      <c r="D174" s="27">
        <f t="shared" si="19"/>
        <v>73</v>
      </c>
      <c r="E174" s="35">
        <f t="shared" si="20"/>
        <v>298.11013375655386</v>
      </c>
      <c r="F174" s="26">
        <f t="shared" si="21"/>
        <v>1.6040544404977493</v>
      </c>
      <c r="G174" s="26">
        <f t="shared" si="22"/>
        <v>5</v>
      </c>
      <c r="H174" s="27">
        <f t="shared" si="23"/>
        <v>150</v>
      </c>
      <c r="I174" s="43">
        <v>168</v>
      </c>
      <c r="J174" s="44">
        <f t="shared" si="24"/>
        <v>0.50375446026285675</v>
      </c>
      <c r="K174" s="45"/>
    </row>
    <row r="175" spans="1:11" x14ac:dyDescent="0.25">
      <c r="A175" s="32">
        <f t="shared" si="18"/>
        <v>25</v>
      </c>
      <c r="B175" s="33">
        <f t="shared" si="17"/>
        <v>298</v>
      </c>
      <c r="C175" s="34">
        <f t="shared" si="19"/>
        <v>1.1000000000000001</v>
      </c>
      <c r="D175" s="27">
        <f t="shared" si="19"/>
        <v>73</v>
      </c>
      <c r="E175" s="35">
        <f t="shared" si="20"/>
        <v>298.10863536136935</v>
      </c>
      <c r="F175" s="26">
        <f t="shared" si="21"/>
        <v>1.5931053060882914</v>
      </c>
      <c r="G175" s="26">
        <f t="shared" si="22"/>
        <v>5</v>
      </c>
      <c r="H175" s="27">
        <f t="shared" si="23"/>
        <v>150</v>
      </c>
      <c r="I175" s="43">
        <v>169</v>
      </c>
      <c r="J175" s="44">
        <f t="shared" si="24"/>
        <v>0.48194513115804366</v>
      </c>
      <c r="K175" s="45"/>
    </row>
    <row r="176" spans="1:11" x14ac:dyDescent="0.25">
      <c r="A176" s="32">
        <f t="shared" si="18"/>
        <v>25</v>
      </c>
      <c r="B176" s="33">
        <f t="shared" si="17"/>
        <v>298</v>
      </c>
      <c r="C176" s="34">
        <f t="shared" si="19"/>
        <v>1.1000000000000001</v>
      </c>
      <c r="D176" s="27">
        <f t="shared" si="19"/>
        <v>73</v>
      </c>
      <c r="E176" s="35">
        <f t="shared" si="20"/>
        <v>298.10715735219725</v>
      </c>
      <c r="F176" s="26">
        <f t="shared" si="21"/>
        <v>1.582230909506402</v>
      </c>
      <c r="G176" s="26">
        <f t="shared" si="22"/>
        <v>5</v>
      </c>
      <c r="H176" s="27">
        <f t="shared" si="23"/>
        <v>150</v>
      </c>
      <c r="I176" s="43">
        <v>170</v>
      </c>
      <c r="J176" s="44">
        <f t="shared" si="24"/>
        <v>0.4604670347234418</v>
      </c>
      <c r="K176" s="45"/>
    </row>
    <row r="177" spans="1:11" x14ac:dyDescent="0.25">
      <c r="A177" s="32">
        <f t="shared" si="18"/>
        <v>25</v>
      </c>
      <c r="B177" s="33">
        <f t="shared" si="17"/>
        <v>298</v>
      </c>
      <c r="C177" s="34">
        <f t="shared" si="19"/>
        <v>1.1000000000000001</v>
      </c>
      <c r="D177" s="27">
        <f t="shared" si="19"/>
        <v>73</v>
      </c>
      <c r="E177" s="35">
        <f t="shared" si="20"/>
        <v>298.10569945168118</v>
      </c>
      <c r="F177" s="26">
        <f t="shared" si="21"/>
        <v>1.571430740598452</v>
      </c>
      <c r="G177" s="26">
        <f t="shared" si="22"/>
        <v>5</v>
      </c>
      <c r="H177" s="27">
        <f t="shared" si="23"/>
        <v>150</v>
      </c>
      <c r="I177" s="43">
        <v>171</v>
      </c>
      <c r="J177" s="44">
        <f t="shared" si="24"/>
        <v>0.43931650689689833</v>
      </c>
      <c r="K177" s="45"/>
    </row>
    <row r="178" spans="1:11" x14ac:dyDescent="0.25">
      <c r="A178" s="32">
        <f t="shared" si="18"/>
        <v>25</v>
      </c>
      <c r="B178" s="33">
        <f t="shared" si="17"/>
        <v>298</v>
      </c>
      <c r="C178" s="34">
        <f t="shared" si="19"/>
        <v>1.1000000000000001</v>
      </c>
      <c r="D178" s="27">
        <f t="shared" si="19"/>
        <v>73</v>
      </c>
      <c r="E178" s="35">
        <f t="shared" si="20"/>
        <v>298.10426138623819</v>
      </c>
      <c r="F178" s="26">
        <f t="shared" si="21"/>
        <v>1.5607042926926249</v>
      </c>
      <c r="G178" s="26">
        <f t="shared" si="22"/>
        <v>5</v>
      </c>
      <c r="H178" s="27">
        <f t="shared" si="23"/>
        <v>150</v>
      </c>
      <c r="I178" s="43">
        <v>172</v>
      </c>
      <c r="J178" s="44">
        <f t="shared" si="24"/>
        <v>0.41848989856198715</v>
      </c>
      <c r="K178" s="45"/>
    </row>
    <row r="179" spans="1:11" x14ac:dyDescent="0.25">
      <c r="A179" s="32">
        <f t="shared" si="18"/>
        <v>25</v>
      </c>
      <c r="B179" s="33">
        <f t="shared" si="17"/>
        <v>298</v>
      </c>
      <c r="C179" s="34">
        <f t="shared" si="19"/>
        <v>1.1000000000000001</v>
      </c>
      <c r="D179" s="27">
        <f t="shared" si="19"/>
        <v>73</v>
      </c>
      <c r="E179" s="35">
        <f t="shared" si="20"/>
        <v>298.10284288600752</v>
      </c>
      <c r="F179" s="26">
        <f t="shared" si="21"/>
        <v>1.5500510625756325</v>
      </c>
      <c r="G179" s="26">
        <f t="shared" si="22"/>
        <v>5</v>
      </c>
      <c r="H179" s="27">
        <f t="shared" si="23"/>
        <v>150</v>
      </c>
      <c r="I179" s="43">
        <v>173</v>
      </c>
      <c r="J179" s="44">
        <f t="shared" si="24"/>
        <v>0.39798357630985126</v>
      </c>
      <c r="K179" s="45"/>
    </row>
    <row r="180" spans="1:11" x14ac:dyDescent="0.25">
      <c r="A180" s="32">
        <f t="shared" si="18"/>
        <v>25</v>
      </c>
      <c r="B180" s="33">
        <f t="shared" si="17"/>
        <v>298</v>
      </c>
      <c r="C180" s="34">
        <f t="shared" si="19"/>
        <v>1.1000000000000001</v>
      </c>
      <c r="D180" s="27">
        <f t="shared" si="19"/>
        <v>73</v>
      </c>
      <c r="E180" s="35">
        <f t="shared" si="20"/>
        <v>298.10144368480007</v>
      </c>
      <c r="F180" s="26">
        <f t="shared" si="21"/>
        <v>1.539470550470353</v>
      </c>
      <c r="G180" s="26">
        <f t="shared" si="22"/>
        <v>5</v>
      </c>
      <c r="H180" s="27">
        <f t="shared" si="23"/>
        <v>150</v>
      </c>
      <c r="I180" s="43">
        <v>174</v>
      </c>
      <c r="J180" s="44">
        <f t="shared" si="24"/>
        <v>0.37779392316741917</v>
      </c>
      <c r="K180" s="45"/>
    </row>
    <row r="181" spans="1:11" x14ac:dyDescent="0.25">
      <c r="A181" s="32">
        <f t="shared" si="18"/>
        <v>25</v>
      </c>
      <c r="B181" s="33">
        <f t="shared" si="17"/>
        <v>298</v>
      </c>
      <c r="C181" s="34">
        <f t="shared" si="19"/>
        <v>1.1000000000000001</v>
      </c>
      <c r="D181" s="27">
        <f t="shared" si="19"/>
        <v>73</v>
      </c>
      <c r="E181" s="35">
        <f t="shared" si="20"/>
        <v>298.10006352004802</v>
      </c>
      <c r="F181" s="26">
        <f t="shared" si="21"/>
        <v>1.5289622600088493</v>
      </c>
      <c r="G181" s="26">
        <f t="shared" si="22"/>
        <v>5</v>
      </c>
      <c r="H181" s="27">
        <f t="shared" si="23"/>
        <v>150</v>
      </c>
      <c r="I181" s="43">
        <v>175</v>
      </c>
      <c r="J181" s="44">
        <f t="shared" si="24"/>
        <v>0.35791733929289771</v>
      </c>
      <c r="K181" s="45"/>
    </row>
    <row r="182" spans="1:11" x14ac:dyDescent="0.25">
      <c r="A182" s="32">
        <f t="shared" si="18"/>
        <v>25</v>
      </c>
      <c r="B182" s="33">
        <f t="shared" si="17"/>
        <v>298</v>
      </c>
      <c r="C182" s="34">
        <f t="shared" si="19"/>
        <v>1.1000000000000001</v>
      </c>
      <c r="D182" s="27">
        <f t="shared" si="19"/>
        <v>73</v>
      </c>
      <c r="E182" s="35">
        <f t="shared" si="20"/>
        <v>298.0987021327561</v>
      </c>
      <c r="F182" s="26">
        <f t="shared" si="21"/>
        <v>1.5185256982132957</v>
      </c>
      <c r="G182" s="26">
        <f t="shared" si="22"/>
        <v>5</v>
      </c>
      <c r="H182" s="27">
        <f t="shared" si="23"/>
        <v>150</v>
      </c>
      <c r="I182" s="43">
        <v>176</v>
      </c>
      <c r="J182" s="44">
        <f t="shared" si="24"/>
        <v>0.33835024263930957</v>
      </c>
      <c r="K182" s="45"/>
    </row>
    <row r="183" spans="1:11" x14ac:dyDescent="0.25">
      <c r="A183" s="32">
        <f t="shared" si="18"/>
        <v>25</v>
      </c>
      <c r="B183" s="33">
        <f t="shared" si="17"/>
        <v>298</v>
      </c>
      <c r="C183" s="34">
        <f t="shared" si="19"/>
        <v>1.1000000000000001</v>
      </c>
      <c r="D183" s="27">
        <f t="shared" si="19"/>
        <v>73</v>
      </c>
      <c r="E183" s="35">
        <f t="shared" si="20"/>
        <v>298.09735926745253</v>
      </c>
      <c r="F183" s="26">
        <f t="shared" si="21"/>
        <v>1.5081603754694</v>
      </c>
      <c r="G183" s="26">
        <f t="shared" si="22"/>
        <v>5</v>
      </c>
      <c r="H183" s="27">
        <f t="shared" si="23"/>
        <v>150</v>
      </c>
      <c r="I183" s="43">
        <v>177</v>
      </c>
      <c r="J183" s="44">
        <f t="shared" si="24"/>
        <v>0.31908906958743399</v>
      </c>
      <c r="K183" s="45"/>
    </row>
    <row r="184" spans="1:11" x14ac:dyDescent="0.25">
      <c r="A184" s="32">
        <f t="shared" si="18"/>
        <v>25</v>
      </c>
      <c r="B184" s="33">
        <f t="shared" si="17"/>
        <v>298</v>
      </c>
      <c r="C184" s="34">
        <f t="shared" si="19"/>
        <v>1.1000000000000001</v>
      </c>
      <c r="D184" s="27">
        <f t="shared" si="19"/>
        <v>73</v>
      </c>
      <c r="E184" s="35">
        <f t="shared" si="20"/>
        <v>298.09603467214151</v>
      </c>
      <c r="F184" s="26">
        <f t="shared" si="21"/>
        <v>1.497865805506654</v>
      </c>
      <c r="G184" s="26">
        <f t="shared" si="22"/>
        <v>5</v>
      </c>
      <c r="H184" s="27">
        <f t="shared" si="23"/>
        <v>150</v>
      </c>
      <c r="I184" s="43">
        <v>178</v>
      </c>
      <c r="J184" s="44">
        <f t="shared" si="24"/>
        <v>0.30013027554856264</v>
      </c>
      <c r="K184" s="45"/>
    </row>
    <row r="185" spans="1:11" x14ac:dyDescent="0.25">
      <c r="A185" s="32">
        <f t="shared" si="18"/>
        <v>25</v>
      </c>
      <c r="B185" s="33">
        <f t="shared" si="17"/>
        <v>298</v>
      </c>
      <c r="C185" s="34">
        <f t="shared" si="19"/>
        <v>1.1000000000000001</v>
      </c>
      <c r="D185" s="27">
        <f t="shared" si="19"/>
        <v>73</v>
      </c>
      <c r="E185" s="35">
        <f t="shared" si="20"/>
        <v>298.09472809825547</v>
      </c>
      <c r="F185" s="26">
        <f t="shared" si="21"/>
        <v>1.4876415053719696</v>
      </c>
      <c r="G185" s="26">
        <f t="shared" si="22"/>
        <v>5</v>
      </c>
      <c r="H185" s="27">
        <f t="shared" si="23"/>
        <v>150</v>
      </c>
      <c r="I185" s="43">
        <v>179</v>
      </c>
      <c r="J185" s="44">
        <f t="shared" si="24"/>
        <v>0.2814703355384518</v>
      </c>
      <c r="K185" s="45"/>
    </row>
    <row r="186" spans="1:11" x14ac:dyDescent="0.25">
      <c r="A186" s="32">
        <f t="shared" si="18"/>
        <v>25</v>
      </c>
      <c r="B186" s="33">
        <f t="shared" si="17"/>
        <v>298</v>
      </c>
      <c r="C186" s="34">
        <f t="shared" si="19"/>
        <v>1.1000000000000001</v>
      </c>
      <c r="D186" s="27">
        <f t="shared" si="19"/>
        <v>73</v>
      </c>
      <c r="E186" s="35">
        <f t="shared" si="20"/>
        <v>298.09343930060879</v>
      </c>
      <c r="F186" s="26">
        <f t="shared" si="21"/>
        <v>1.4774869954099177</v>
      </c>
      <c r="G186" s="26">
        <f t="shared" si="22"/>
        <v>5</v>
      </c>
      <c r="H186" s="27">
        <f t="shared" si="23"/>
        <v>150</v>
      </c>
      <c r="I186" s="43">
        <v>180</v>
      </c>
      <c r="J186" s="44">
        <f t="shared" si="24"/>
        <v>0.26310574472290787</v>
      </c>
      <c r="K186" s="45"/>
    </row>
    <row r="187" spans="1:11" x14ac:dyDescent="0.25">
      <c r="A187" s="32">
        <f t="shared" si="18"/>
        <v>25</v>
      </c>
      <c r="B187" s="33">
        <f t="shared" si="17"/>
        <v>298</v>
      </c>
      <c r="C187" s="34">
        <f t="shared" si="19"/>
        <v>1.1000000000000001</v>
      </c>
      <c r="D187" s="27">
        <f t="shared" si="19"/>
        <v>73</v>
      </c>
      <c r="E187" s="35">
        <f t="shared" si="20"/>
        <v>298.09216803735166</v>
      </c>
      <c r="F187" s="26">
        <f t="shared" si="21"/>
        <v>1.4674017992390989</v>
      </c>
      <c r="G187" s="26">
        <f t="shared" si="22"/>
        <v>5</v>
      </c>
      <c r="H187" s="27">
        <f t="shared" si="23"/>
        <v>150</v>
      </c>
      <c r="I187" s="43">
        <v>181</v>
      </c>
      <c r="J187" s="44">
        <f t="shared" si="24"/>
        <v>0.24503301893619206</v>
      </c>
      <c r="K187" s="45"/>
    </row>
    <row r="188" spans="1:11" x14ac:dyDescent="0.25">
      <c r="A188" s="32">
        <f t="shared" si="18"/>
        <v>25</v>
      </c>
      <c r="B188" s="33">
        <f t="shared" si="17"/>
        <v>298</v>
      </c>
      <c r="C188" s="34">
        <f t="shared" si="19"/>
        <v>1.1000000000000001</v>
      </c>
      <c r="D188" s="27">
        <f t="shared" si="19"/>
        <v>73</v>
      </c>
      <c r="E188" s="35">
        <f t="shared" si="20"/>
        <v>298.09091406992462</v>
      </c>
      <c r="F188" s="26">
        <f t="shared" si="21"/>
        <v>1.4573854437295231</v>
      </c>
      <c r="G188" s="26">
        <f t="shared" si="22"/>
        <v>5</v>
      </c>
      <c r="H188" s="27">
        <f t="shared" si="23"/>
        <v>150</v>
      </c>
      <c r="I188" s="43">
        <v>182</v>
      </c>
      <c r="J188" s="44">
        <f t="shared" si="24"/>
        <v>0.22724869517281729</v>
      </c>
      <c r="K188" s="45"/>
    </row>
    <row r="189" spans="1:11" x14ac:dyDescent="0.25">
      <c r="A189" s="32">
        <f t="shared" si="18"/>
        <v>25</v>
      </c>
      <c r="B189" s="33">
        <f t="shared" si="17"/>
        <v>298</v>
      </c>
      <c r="C189" s="34">
        <f t="shared" si="19"/>
        <v>1.1000000000000001</v>
      </c>
      <c r="D189" s="27">
        <f t="shared" si="19"/>
        <v>73</v>
      </c>
      <c r="E189" s="35">
        <f t="shared" si="20"/>
        <v>298.08967716301396</v>
      </c>
      <c r="F189" s="26">
        <f t="shared" si="21"/>
        <v>1.4474374589811134</v>
      </c>
      <c r="G189" s="26">
        <f t="shared" si="22"/>
        <v>5</v>
      </c>
      <c r="H189" s="27">
        <f t="shared" si="23"/>
        <v>150</v>
      </c>
      <c r="I189" s="43">
        <v>183</v>
      </c>
      <c r="J189" s="44">
        <f t="shared" si="24"/>
        <v>0.20974933205377475</v>
      </c>
      <c r="K189" s="45"/>
    </row>
    <row r="190" spans="1:11" x14ac:dyDescent="0.25">
      <c r="A190" s="32">
        <f t="shared" si="18"/>
        <v>25</v>
      </c>
      <c r="B190" s="33">
        <f t="shared" si="17"/>
        <v>298</v>
      </c>
      <c r="C190" s="34">
        <f t="shared" si="19"/>
        <v>1.1000000000000001</v>
      </c>
      <c r="D190" s="27">
        <f t="shared" si="19"/>
        <v>73</v>
      </c>
      <c r="E190" s="35">
        <f t="shared" si="20"/>
        <v>298.08845708450735</v>
      </c>
      <c r="F190" s="26">
        <f t="shared" si="21"/>
        <v>1.4375573783006739</v>
      </c>
      <c r="G190" s="26">
        <f t="shared" si="22"/>
        <v>5</v>
      </c>
      <c r="H190" s="27">
        <f t="shared" si="23"/>
        <v>150</v>
      </c>
      <c r="I190" s="43">
        <v>184</v>
      </c>
      <c r="J190" s="44">
        <f t="shared" si="24"/>
        <v>0.19253151026768223</v>
      </c>
      <c r="K190" s="45"/>
    </row>
    <row r="191" spans="1:11" x14ac:dyDescent="0.25">
      <c r="A191" s="32">
        <f t="shared" si="18"/>
        <v>25</v>
      </c>
      <c r="B191" s="33">
        <f t="shared" si="17"/>
        <v>298</v>
      </c>
      <c r="C191" s="34">
        <f t="shared" si="19"/>
        <v>1.1000000000000001</v>
      </c>
      <c r="D191" s="27">
        <f t="shared" si="19"/>
        <v>73</v>
      </c>
      <c r="E191" s="35">
        <f t="shared" si="20"/>
        <v>298.08725360545054</v>
      </c>
      <c r="F191" s="26">
        <f t="shared" si="21"/>
        <v>1.4277447381814923</v>
      </c>
      <c r="G191" s="26">
        <f t="shared" si="22"/>
        <v>5</v>
      </c>
      <c r="H191" s="27">
        <f t="shared" si="23"/>
        <v>150</v>
      </c>
      <c r="I191" s="43">
        <v>185</v>
      </c>
      <c r="J191" s="44">
        <f t="shared" si="24"/>
        <v>0.17559183298797287</v>
      </c>
      <c r="K191" s="45"/>
    </row>
    <row r="192" spans="1:11" x14ac:dyDescent="0.25">
      <c r="A192" s="32">
        <f t="shared" si="18"/>
        <v>25</v>
      </c>
      <c r="B192" s="33">
        <f t="shared" si="17"/>
        <v>298</v>
      </c>
      <c r="C192" s="34">
        <f t="shared" si="19"/>
        <v>1.1000000000000001</v>
      </c>
      <c r="D192" s="27">
        <f t="shared" si="19"/>
        <v>73</v>
      </c>
      <c r="E192" s="35">
        <f t="shared" si="20"/>
        <v>298.08606650000411</v>
      </c>
      <c r="F192" s="26">
        <f t="shared" si="21"/>
        <v>1.4179990782796776</v>
      </c>
      <c r="G192" s="26">
        <f t="shared" si="22"/>
        <v>5</v>
      </c>
      <c r="H192" s="27">
        <f t="shared" si="23"/>
        <v>150</v>
      </c>
      <c r="I192" s="43">
        <v>186</v>
      </c>
      <c r="J192" s="44">
        <f t="shared" si="24"/>
        <v>0.1589269262664974</v>
      </c>
      <c r="K192" s="45"/>
    </row>
    <row r="193" spans="1:11" x14ac:dyDescent="0.25">
      <c r="A193" s="32">
        <f t="shared" si="18"/>
        <v>25</v>
      </c>
      <c r="B193" s="33">
        <f t="shared" si="17"/>
        <v>298</v>
      </c>
      <c r="C193" s="34">
        <f t="shared" si="19"/>
        <v>1.1000000000000001</v>
      </c>
      <c r="D193" s="27">
        <f t="shared" si="19"/>
        <v>73</v>
      </c>
      <c r="E193" s="35">
        <f t="shared" si="20"/>
        <v>298.08489554540137</v>
      </c>
      <c r="F193" s="26">
        <f t="shared" si="21"/>
        <v>1.4083199413946765</v>
      </c>
      <c r="G193" s="26">
        <f t="shared" si="22"/>
        <v>5</v>
      </c>
      <c r="H193" s="27">
        <f t="shared" si="23"/>
        <v>150</v>
      </c>
      <c r="I193" s="43">
        <v>187</v>
      </c>
      <c r="J193" s="44">
        <f t="shared" si="24"/>
        <v>0.14253343940459201</v>
      </c>
      <c r="K193" s="45"/>
    </row>
    <row r="194" spans="1:11" x14ac:dyDescent="0.25">
      <c r="A194" s="32">
        <f t="shared" si="18"/>
        <v>25</v>
      </c>
      <c r="B194" s="33">
        <f t="shared" si="17"/>
        <v>298</v>
      </c>
      <c r="C194" s="34">
        <f t="shared" si="19"/>
        <v>1.1000000000000001</v>
      </c>
      <c r="D194" s="27">
        <f t="shared" si="19"/>
        <v>73</v>
      </c>
      <c r="E194" s="35">
        <f t="shared" si="20"/>
        <v>298.08374052190635</v>
      </c>
      <c r="F194" s="26">
        <f t="shared" si="21"/>
        <v>1.3987068734461587</v>
      </c>
      <c r="G194" s="26">
        <f t="shared" si="22"/>
        <v>5</v>
      </c>
      <c r="H194" s="27">
        <f t="shared" si="23"/>
        <v>150</v>
      </c>
      <c r="I194" s="43">
        <v>188</v>
      </c>
      <c r="J194" s="44">
        <f t="shared" si="24"/>
        <v>0.12640804530204547</v>
      </c>
      <c r="K194" s="45"/>
    </row>
    <row r="195" spans="1:11" x14ac:dyDescent="0.25">
      <c r="A195" s="32">
        <f t="shared" si="18"/>
        <v>25</v>
      </c>
      <c r="B195" s="33">
        <f t="shared" si="17"/>
        <v>298</v>
      </c>
      <c r="C195" s="34">
        <f t="shared" si="19"/>
        <v>1.1000000000000001</v>
      </c>
      <c r="D195" s="27">
        <f t="shared" si="19"/>
        <v>73</v>
      </c>
      <c r="E195" s="35">
        <f t="shared" si="20"/>
        <v>298.0826012127726</v>
      </c>
      <c r="F195" s="26">
        <f t="shared" si="21"/>
        <v>1.389159423452889</v>
      </c>
      <c r="G195" s="26">
        <f t="shared" si="22"/>
        <v>5</v>
      </c>
      <c r="H195" s="27">
        <f t="shared" si="23"/>
        <v>150</v>
      </c>
      <c r="I195" s="43">
        <v>189</v>
      </c>
      <c r="J195" s="44">
        <f t="shared" si="24"/>
        <v>0.1105474407848558</v>
      </c>
      <c r="K195" s="45"/>
    </row>
    <row r="196" spans="1:11" x14ac:dyDescent="0.25">
      <c r="A196" s="32">
        <f t="shared" si="18"/>
        <v>25</v>
      </c>
      <c r="B196" s="33">
        <f t="shared" si="17"/>
        <v>298</v>
      </c>
      <c r="C196" s="34">
        <f t="shared" si="19"/>
        <v>1.1000000000000001</v>
      </c>
      <c r="D196" s="27">
        <f t="shared" si="19"/>
        <v>73</v>
      </c>
      <c r="E196" s="35">
        <f t="shared" si="20"/>
        <v>298.08147740420264</v>
      </c>
      <c r="F196" s="26">
        <f t="shared" si="21"/>
        <v>1.3796771435127768</v>
      </c>
      <c r="G196" s="26">
        <f t="shared" si="22"/>
        <v>5</v>
      </c>
      <c r="H196" s="27">
        <f t="shared" si="23"/>
        <v>150</v>
      </c>
      <c r="I196" s="43">
        <v>190</v>
      </c>
      <c r="J196" s="44">
        <f t="shared" si="24"/>
        <v>9.4948346912389181E-2</v>
      </c>
      <c r="K196" s="45"/>
    </row>
    <row r="197" spans="1:11" x14ac:dyDescent="0.25">
      <c r="A197" s="32">
        <f t="shared" si="18"/>
        <v>25</v>
      </c>
      <c r="B197" s="33">
        <f t="shared" si="17"/>
        <v>298</v>
      </c>
      <c r="C197" s="34">
        <f t="shared" si="19"/>
        <v>1.1000000000000001</v>
      </c>
      <c r="D197" s="27">
        <f t="shared" si="19"/>
        <v>73</v>
      </c>
      <c r="E197" s="35">
        <f t="shared" si="20"/>
        <v>298.08036888530779</v>
      </c>
      <c r="F197" s="26">
        <f t="shared" si="21"/>
        <v>1.3702595887813118</v>
      </c>
      <c r="G197" s="26">
        <f t="shared" si="22"/>
        <v>5</v>
      </c>
      <c r="H197" s="27">
        <f t="shared" si="23"/>
        <v>150</v>
      </c>
      <c r="I197" s="43">
        <v>191</v>
      </c>
      <c r="J197" s="44">
        <f t="shared" si="24"/>
        <v>7.960750926441236E-2</v>
      </c>
      <c r="K197" s="45"/>
    </row>
    <row r="198" spans="1:11" x14ac:dyDescent="0.25">
      <c r="A198" s="32">
        <f t="shared" si="18"/>
        <v>25</v>
      </c>
      <c r="B198" s="33">
        <f t="shared" ref="B198:B206" si="25">A198+273</f>
        <v>298</v>
      </c>
      <c r="C198" s="34">
        <f t="shared" si="19"/>
        <v>1.1000000000000001</v>
      </c>
      <c r="D198" s="27">
        <f t="shared" si="19"/>
        <v>73</v>
      </c>
      <c r="E198" s="35">
        <f t="shared" si="20"/>
        <v>298.07927544806836</v>
      </c>
      <c r="F198" s="26">
        <f t="shared" si="21"/>
        <v>1.3609063174488483</v>
      </c>
      <c r="G198" s="26">
        <f t="shared" si="22"/>
        <v>5</v>
      </c>
      <c r="H198" s="27">
        <f t="shared" si="23"/>
        <v>150</v>
      </c>
      <c r="I198" s="43">
        <v>192</v>
      </c>
      <c r="J198" s="44">
        <f t="shared" si="24"/>
        <v>6.4521698209027561E-2</v>
      </c>
      <c r="K198" s="45"/>
    </row>
    <row r="199" spans="1:11" x14ac:dyDescent="0.25">
      <c r="A199" s="32">
        <f t="shared" ref="A199:A206" si="26">A198</f>
        <v>25</v>
      </c>
      <c r="B199" s="33">
        <f t="shared" si="25"/>
        <v>298</v>
      </c>
      <c r="C199" s="34">
        <f t="shared" ref="C199:D206" si="27">C198</f>
        <v>1.1000000000000001</v>
      </c>
      <c r="D199" s="27">
        <f t="shared" si="27"/>
        <v>73</v>
      </c>
      <c r="E199" s="35">
        <f t="shared" ref="E199:E206" si="28">C199*EXP(-I199/D199)+B199</f>
        <v>298.07819688729506</v>
      </c>
      <c r="F199" s="26">
        <f t="shared" ref="F199:F206" si="29">11.8*SQRT((50*(E199-B199)/B199))</f>
        <v>1.3516168907236203</v>
      </c>
      <c r="G199" s="26">
        <f t="shared" ref="G199:G256" si="30">G198</f>
        <v>5</v>
      </c>
      <c r="H199" s="27">
        <f t="shared" ref="H199:H206" si="31">H198</f>
        <v>150</v>
      </c>
      <c r="I199" s="43">
        <v>193</v>
      </c>
      <c r="J199" s="44">
        <f t="shared" si="24"/>
        <v>4.9687709151655136E-2</v>
      </c>
      <c r="K199" s="45"/>
    </row>
    <row r="200" spans="1:11" x14ac:dyDescent="0.25">
      <c r="A200" s="32">
        <f t="shared" si="26"/>
        <v>25</v>
      </c>
      <c r="B200" s="33">
        <f t="shared" si="25"/>
        <v>298</v>
      </c>
      <c r="C200" s="34">
        <f t="shared" si="27"/>
        <v>1.1000000000000001</v>
      </c>
      <c r="D200" s="27">
        <f t="shared" si="27"/>
        <v>73</v>
      </c>
      <c r="E200" s="35">
        <f t="shared" si="28"/>
        <v>298.07713300059009</v>
      </c>
      <c r="F200" s="26">
        <f t="shared" si="29"/>
        <v>1.3423908728074632</v>
      </c>
      <c r="G200" s="26">
        <f t="shared" si="30"/>
        <v>5</v>
      </c>
      <c r="H200" s="27">
        <f t="shared" si="31"/>
        <v>150</v>
      </c>
      <c r="I200" s="43">
        <v>194</v>
      </c>
      <c r="J200" s="44">
        <f t="shared" si="24"/>
        <v>3.5102362766043171E-2</v>
      </c>
      <c r="K200" s="45"/>
    </row>
    <row r="201" spans="1:11" x14ac:dyDescent="0.25">
      <c r="A201" s="32">
        <f t="shared" si="26"/>
        <v>25</v>
      </c>
      <c r="B201" s="33">
        <f t="shared" si="25"/>
        <v>298</v>
      </c>
      <c r="C201" s="34">
        <f t="shared" si="27"/>
        <v>1.1000000000000001</v>
      </c>
      <c r="D201" s="27">
        <f t="shared" si="27"/>
        <v>73</v>
      </c>
      <c r="E201" s="35">
        <f t="shared" si="28"/>
        <v>298.07608358830936</v>
      </c>
      <c r="F201" s="26">
        <f t="shared" si="29"/>
        <v>1.3332278308773915</v>
      </c>
      <c r="G201" s="26">
        <f t="shared" si="30"/>
        <v>5</v>
      </c>
      <c r="H201" s="27">
        <f t="shared" si="31"/>
        <v>150</v>
      </c>
      <c r="I201" s="43">
        <v>195</v>
      </c>
      <c r="J201" s="44">
        <f t="shared" si="24"/>
        <v>2.076250520771172E-2</v>
      </c>
      <c r="K201" s="45"/>
    </row>
    <row r="202" spans="1:11" x14ac:dyDescent="0.25">
      <c r="A202" s="32">
        <f t="shared" si="26"/>
        <v>25</v>
      </c>
      <c r="B202" s="33">
        <f t="shared" si="25"/>
        <v>298</v>
      </c>
      <c r="C202" s="34">
        <f t="shared" si="27"/>
        <v>1.1000000000000001</v>
      </c>
      <c r="D202" s="27">
        <f t="shared" si="27"/>
        <v>73</v>
      </c>
      <c r="E202" s="35">
        <f t="shared" si="28"/>
        <v>298.07504845352497</v>
      </c>
      <c r="F202" s="26">
        <f t="shared" si="29"/>
        <v>1.3241273350648481</v>
      </c>
      <c r="G202" s="26">
        <f t="shared" si="30"/>
        <v>5</v>
      </c>
      <c r="H202" s="27">
        <f t="shared" si="31"/>
        <v>150</v>
      </c>
      <c r="I202" s="43">
        <v>196</v>
      </c>
      <c r="J202" s="44">
        <f t="shared" si="24"/>
        <v>6.6650083104301504E-3</v>
      </c>
      <c r="K202" s="45"/>
    </row>
    <row r="203" spans="1:11" x14ac:dyDescent="0.25">
      <c r="A203" s="32">
        <f t="shared" si="26"/>
        <v>25</v>
      </c>
      <c r="B203" s="33">
        <f t="shared" si="25"/>
        <v>298</v>
      </c>
      <c r="C203" s="34">
        <f t="shared" si="27"/>
        <v>1.1000000000000001</v>
      </c>
      <c r="D203" s="27">
        <f t="shared" si="27"/>
        <v>73</v>
      </c>
      <c r="E203" s="35">
        <f t="shared" si="28"/>
        <v>298.0740274019883</v>
      </c>
      <c r="F203" s="26">
        <f t="shared" si="29"/>
        <v>1.3150889584355947</v>
      </c>
      <c r="G203" s="26">
        <f t="shared" si="30"/>
        <v>5</v>
      </c>
      <c r="H203" s="27">
        <f t="shared" si="31"/>
        <v>150</v>
      </c>
      <c r="I203" s="43">
        <v>197</v>
      </c>
      <c r="J203" s="44">
        <f t="shared" si="24"/>
        <v>-7.1932302337193062E-3</v>
      </c>
      <c r="K203" s="45"/>
    </row>
    <row r="204" spans="1:11" x14ac:dyDescent="0.25">
      <c r="A204" s="32">
        <f t="shared" si="26"/>
        <v>25</v>
      </c>
      <c r="B204" s="33">
        <f t="shared" si="25"/>
        <v>298</v>
      </c>
      <c r="C204" s="34">
        <f t="shared" si="27"/>
        <v>1.1000000000000001</v>
      </c>
      <c r="D204" s="27">
        <f t="shared" si="27"/>
        <v>73</v>
      </c>
      <c r="E204" s="35">
        <f t="shared" si="28"/>
        <v>298.07302024209349</v>
      </c>
      <c r="F204" s="26">
        <f t="shared" si="29"/>
        <v>1.3061122769693119</v>
      </c>
      <c r="G204" s="26">
        <f t="shared" si="30"/>
        <v>5</v>
      </c>
      <c r="H204" s="27">
        <f t="shared" si="31"/>
        <v>150</v>
      </c>
      <c r="I204" s="43">
        <v>198</v>
      </c>
      <c r="J204" s="44">
        <f t="shared" si="24"/>
        <v>-2.081528671012433E-2</v>
      </c>
      <c r="K204" s="45"/>
    </row>
    <row r="205" spans="1:11" x14ac:dyDescent="0.25">
      <c r="A205" s="32">
        <f t="shared" si="26"/>
        <v>25</v>
      </c>
      <c r="B205" s="33">
        <f t="shared" si="25"/>
        <v>298</v>
      </c>
      <c r="C205" s="34">
        <f t="shared" si="27"/>
        <v>1.1000000000000001</v>
      </c>
      <c r="D205" s="27">
        <f t="shared" si="27"/>
        <v>73</v>
      </c>
      <c r="E205" s="35">
        <f t="shared" si="28"/>
        <v>298.07202678484163</v>
      </c>
      <c r="F205" s="26">
        <f t="shared" si="29"/>
        <v>1.2971968695410006</v>
      </c>
      <c r="G205" s="26">
        <f t="shared" si="30"/>
        <v>5</v>
      </c>
      <c r="H205" s="27">
        <f t="shared" si="31"/>
        <v>150</v>
      </c>
      <c r="I205" s="43">
        <v>199</v>
      </c>
      <c r="J205" s="44">
        <f t="shared" si="24"/>
        <v>-3.4204211232780522E-2</v>
      </c>
      <c r="K205" s="45"/>
    </row>
    <row r="206" spans="1:11" x14ac:dyDescent="0.25">
      <c r="A206" s="32">
        <f t="shared" si="26"/>
        <v>25</v>
      </c>
      <c r="B206" s="33">
        <f t="shared" si="25"/>
        <v>298</v>
      </c>
      <c r="C206" s="34">
        <f t="shared" si="27"/>
        <v>1.1000000000000001</v>
      </c>
      <c r="D206" s="27">
        <f t="shared" si="27"/>
        <v>73</v>
      </c>
      <c r="E206" s="35">
        <f t="shared" si="28"/>
        <v>298.07104684380499</v>
      </c>
      <c r="F206" s="26">
        <f t="shared" si="29"/>
        <v>1.2883423178986473</v>
      </c>
      <c r="G206" s="26">
        <f t="shared" si="30"/>
        <v>5</v>
      </c>
      <c r="H206" s="27">
        <f t="shared" si="31"/>
        <v>150</v>
      </c>
      <c r="I206" s="43">
        <v>200</v>
      </c>
      <c r="J206" s="44">
        <f t="shared" si="24"/>
        <v>-4.7363027610218239E-2</v>
      </c>
      <c r="K206" s="45"/>
    </row>
    <row r="207" spans="1:11" x14ac:dyDescent="0.25">
      <c r="G207" s="26">
        <f t="shared" si="30"/>
        <v>5</v>
      </c>
      <c r="I207" s="43">
        <v>201</v>
      </c>
      <c r="J207" s="44">
        <f t="shared" si="24"/>
        <v>-6.0294733225821816E-2</v>
      </c>
      <c r="K207" s="45"/>
    </row>
    <row r="208" spans="1:11" x14ac:dyDescent="0.25">
      <c r="G208" s="26">
        <f t="shared" si="30"/>
        <v>5</v>
      </c>
      <c r="I208" s="43">
        <v>202</v>
      </c>
      <c r="J208" s="44">
        <f t="shared" si="24"/>
        <v>-7.3002298931935675E-2</v>
      </c>
      <c r="K208" s="45"/>
    </row>
    <row r="209" spans="7:11" x14ac:dyDescent="0.25">
      <c r="G209" s="26">
        <f t="shared" si="30"/>
        <v>5</v>
      </c>
      <c r="I209" s="43">
        <v>203</v>
      </c>
      <c r="J209" s="44">
        <f t="shared" si="24"/>
        <v>-8.5488668957332425E-2</v>
      </c>
      <c r="K209" s="45"/>
    </row>
    <row r="210" spans="7:11" x14ac:dyDescent="0.25">
      <c r="G210" s="26">
        <f t="shared" si="30"/>
        <v>5</v>
      </c>
      <c r="I210" s="43">
        <v>204</v>
      </c>
      <c r="J210" s="44">
        <f t="shared" si="24"/>
        <v>-9.7756760827654929E-2</v>
      </c>
      <c r="K210" s="45"/>
    </row>
    <row r="211" spans="7:11" x14ac:dyDescent="0.25">
      <c r="G211" s="26">
        <f t="shared" si="30"/>
        <v>5</v>
      </c>
      <c r="I211" s="43">
        <v>205</v>
      </c>
      <c r="J211" s="44">
        <f t="shared" si="24"/>
        <v>-0.10980946529825693</v>
      </c>
      <c r="K211" s="45"/>
    </row>
    <row r="212" spans="7:11" x14ac:dyDescent="0.25">
      <c r="G212" s="26">
        <f t="shared" si="30"/>
        <v>5</v>
      </c>
      <c r="I212" s="43">
        <v>206</v>
      </c>
      <c r="J212" s="44">
        <f t="shared" si="24"/>
        <v>-0.12164964629908924</v>
      </c>
      <c r="K212" s="45"/>
    </row>
    <row r="213" spans="7:11" x14ac:dyDescent="0.25">
      <c r="G213" s="26">
        <f t="shared" si="30"/>
        <v>5</v>
      </c>
      <c r="I213" s="43">
        <v>207</v>
      </c>
      <c r="J213" s="44">
        <f t="shared" si="24"/>
        <v>-0.13328014089122495</v>
      </c>
      <c r="K213" s="45"/>
    </row>
    <row r="214" spans="7:11" x14ac:dyDescent="0.25">
      <c r="G214" s="26">
        <f t="shared" si="30"/>
        <v>5</v>
      </c>
      <c r="I214" s="43">
        <v>208</v>
      </c>
      <c r="J214" s="44">
        <f t="shared" si="24"/>
        <v>-0.14470375923451129</v>
      </c>
      <c r="K214" s="45"/>
    </row>
    <row r="215" spans="7:11" x14ac:dyDescent="0.25">
      <c r="G215" s="26">
        <f t="shared" si="30"/>
        <v>5</v>
      </c>
      <c r="I215" s="43">
        <v>209</v>
      </c>
      <c r="J215" s="44">
        <f t="shared" si="24"/>
        <v>-0.15592328456606394</v>
      </c>
      <c r="K215" s="45"/>
    </row>
    <row r="216" spans="7:11" x14ac:dyDescent="0.25">
      <c r="G216" s="26">
        <f t="shared" si="30"/>
        <v>5</v>
      </c>
      <c r="I216" s="43">
        <v>210</v>
      </c>
      <c r="J216" s="44">
        <f t="shared" si="24"/>
        <v>-0.16694147318914729</v>
      </c>
      <c r="K216" s="45"/>
    </row>
    <row r="217" spans="7:11" x14ac:dyDescent="0.25">
      <c r="G217" s="26">
        <f t="shared" si="30"/>
        <v>5</v>
      </c>
      <c r="I217" s="43">
        <v>211</v>
      </c>
      <c r="J217" s="44">
        <f t="shared" si="24"/>
        <v>-0.17776105447208651</v>
      </c>
      <c r="K217" s="45"/>
    </row>
    <row r="218" spans="7:11" x14ac:dyDescent="0.25">
      <c r="G218" s="26">
        <f t="shared" si="30"/>
        <v>5</v>
      </c>
      <c r="I218" s="43">
        <v>212</v>
      </c>
      <c r="J218" s="44">
        <f t="shared" si="24"/>
        <v>-0.18838473085680024</v>
      </c>
      <c r="K218" s="45"/>
    </row>
    <row r="219" spans="7:11" x14ac:dyDescent="0.25">
      <c r="G219" s="26">
        <f t="shared" si="30"/>
        <v>5</v>
      </c>
      <c r="I219" s="43">
        <v>213</v>
      </c>
      <c r="J219" s="44">
        <f t="shared" si="24"/>
        <v>-0.19881517787667624</v>
      </c>
      <c r="K219" s="45"/>
    </row>
    <row r="220" spans="7:11" x14ac:dyDescent="0.25">
      <c r="G220" s="26">
        <f t="shared" si="30"/>
        <v>5</v>
      </c>
      <c r="I220" s="43">
        <v>214</v>
      </c>
      <c r="J220" s="44">
        <f t="shared" si="24"/>
        <v>-0.20905504418336265</v>
      </c>
      <c r="K220" s="45"/>
    </row>
    <row r="221" spans="7:11" x14ac:dyDescent="0.25">
      <c r="G221" s="26">
        <f t="shared" si="30"/>
        <v>5</v>
      </c>
      <c r="I221" s="43">
        <v>215</v>
      </c>
      <c r="J221" s="44">
        <f t="shared" si="24"/>
        <v>-0.21910695158216695</v>
      </c>
      <c r="K221" s="45"/>
    </row>
    <row r="222" spans="7:11" x14ac:dyDescent="0.25">
      <c r="G222" s="26">
        <f t="shared" si="30"/>
        <v>5</v>
      </c>
      <c r="I222" s="43">
        <v>216</v>
      </c>
      <c r="J222" s="44">
        <f t="shared" si="24"/>
        <v>-0.22897349507574688</v>
      </c>
      <c r="K222" s="45"/>
    </row>
    <row r="223" spans="7:11" x14ac:dyDescent="0.25">
      <c r="G223" s="26">
        <f t="shared" si="30"/>
        <v>5</v>
      </c>
      <c r="I223" s="43">
        <v>217</v>
      </c>
      <c r="J223" s="44">
        <f t="shared" si="24"/>
        <v>-0.2386572429157735</v>
      </c>
      <c r="K223" s="45"/>
    </row>
    <row r="224" spans="7:11" x14ac:dyDescent="0.25">
      <c r="G224" s="26">
        <f t="shared" si="30"/>
        <v>5</v>
      </c>
      <c r="I224" s="43">
        <v>218</v>
      </c>
      <c r="J224" s="44">
        <f t="shared" si="24"/>
        <v>-0.24816073666218713</v>
      </c>
      <c r="K224" s="45"/>
    </row>
    <row r="225" spans="7:11" x14ac:dyDescent="0.25">
      <c r="G225" s="26">
        <f t="shared" si="30"/>
        <v>5</v>
      </c>
      <c r="I225" s="43">
        <v>219</v>
      </c>
      <c r="J225" s="44">
        <f t="shared" si="24"/>
        <v>-0.25748649124985751</v>
      </c>
      <c r="K225" s="45"/>
    </row>
    <row r="226" spans="7:11" x14ac:dyDescent="0.25">
      <c r="G226" s="26">
        <f t="shared" si="30"/>
        <v>5</v>
      </c>
      <c r="I226" s="43">
        <v>220</v>
      </c>
      <c r="J226" s="44">
        <f t="shared" si="24"/>
        <v>-0.26663699506227689</v>
      </c>
      <c r="K226" s="45"/>
    </row>
    <row r="227" spans="7:11" x14ac:dyDescent="0.25">
      <c r="G227" s="26">
        <f t="shared" si="30"/>
        <v>5</v>
      </c>
      <c r="I227" s="43">
        <v>221</v>
      </c>
      <c r="J227" s="44">
        <f t="shared" si="24"/>
        <v>-0.27561471001198168</v>
      </c>
      <c r="K227" s="45"/>
    </row>
    <row r="228" spans="7:11" x14ac:dyDescent="0.25">
      <c r="G228" s="26">
        <f t="shared" si="30"/>
        <v>5</v>
      </c>
      <c r="I228" s="43">
        <v>222</v>
      </c>
      <c r="J228" s="44">
        <f t="shared" si="24"/>
        <v>-0.28442207162752331</v>
      </c>
      <c r="K228" s="45"/>
    </row>
    <row r="229" spans="7:11" x14ac:dyDescent="0.25">
      <c r="G229" s="26">
        <f t="shared" si="30"/>
        <v>5</v>
      </c>
      <c r="I229" s="43">
        <v>223</v>
      </c>
      <c r="J229" s="44">
        <f t="shared" si="24"/>
        <v>-0.29306148914661312</v>
      </c>
      <c r="K229" s="45"/>
    </row>
    <row r="230" spans="7:11" x14ac:dyDescent="0.25">
      <c r="G230" s="26">
        <f t="shared" si="30"/>
        <v>5</v>
      </c>
      <c r="I230" s="43">
        <v>224</v>
      </c>
      <c r="J230" s="44">
        <f t="shared" si="24"/>
        <v>-0.30153534561523265</v>
      </c>
      <c r="K230" s="45"/>
    </row>
    <row r="231" spans="7:11" x14ac:dyDescent="0.25">
      <c r="G231" s="26">
        <f t="shared" si="30"/>
        <v>5</v>
      </c>
      <c r="I231" s="43">
        <v>225</v>
      </c>
      <c r="J231" s="44">
        <f t="shared" si="24"/>
        <v>-0.30984599799244528</v>
      </c>
      <c r="K231" s="45"/>
    </row>
    <row r="232" spans="7:11" x14ac:dyDescent="0.25">
      <c r="G232" s="26">
        <f t="shared" si="30"/>
        <v>5</v>
      </c>
      <c r="I232" s="43">
        <v>226</v>
      </c>
      <c r="J232" s="44">
        <f t="shared" si="24"/>
        <v>-0.3179957772606794</v>
      </c>
      <c r="K232" s="45"/>
    </row>
    <row r="233" spans="7:11" x14ac:dyDescent="0.25">
      <c r="G233" s="26">
        <f t="shared" si="30"/>
        <v>5</v>
      </c>
      <c r="I233" s="43">
        <v>227</v>
      </c>
      <c r="J233" s="44">
        <f t="shared" si="24"/>
        <v>-0.325986988541208</v>
      </c>
      <c r="K233" s="45"/>
    </row>
    <row r="234" spans="7:11" x14ac:dyDescent="0.25">
      <c r="G234" s="26">
        <f t="shared" si="30"/>
        <v>5</v>
      </c>
      <c r="I234" s="43">
        <v>228</v>
      </c>
      <c r="J234" s="44">
        <f t="shared" si="24"/>
        <v>-0.33382191121459664</v>
      </c>
      <c r="K234" s="45"/>
    </row>
    <row r="235" spans="7:11" x14ac:dyDescent="0.25">
      <c r="G235" s="26">
        <f t="shared" si="30"/>
        <v>5</v>
      </c>
      <c r="I235" s="43">
        <v>229</v>
      </c>
      <c r="J235" s="44">
        <f t="shared" si="24"/>
        <v>-0.34150279904596403</v>
      </c>
      <c r="K235" s="45"/>
    </row>
    <row r="236" spans="7:11" x14ac:dyDescent="0.25">
      <c r="G236" s="26">
        <f t="shared" si="30"/>
        <v>5</v>
      </c>
      <c r="I236" s="43">
        <v>230</v>
      </c>
      <c r="J236" s="44">
        <f t="shared" ref="J236:J256" si="32">(0.2*(4*(I236+73)+10)*EXP((-1/73*(I236+113)^1.05))-300/(I236^1.05+90)+0.1)*1.64</f>
        <v>-0.34903188031469956</v>
      </c>
      <c r="K236" s="45"/>
    </row>
    <row r="237" spans="7:11" x14ac:dyDescent="0.25">
      <c r="G237" s="26">
        <f t="shared" si="30"/>
        <v>5</v>
      </c>
      <c r="I237" s="43">
        <v>231</v>
      </c>
      <c r="J237" s="44">
        <f t="shared" si="32"/>
        <v>-0.35641135794858003</v>
      </c>
      <c r="K237" s="45"/>
    </row>
    <row r="238" spans="7:11" x14ac:dyDescent="0.25">
      <c r="G238" s="26">
        <f t="shared" si="30"/>
        <v>5</v>
      </c>
      <c r="I238" s="43">
        <v>232</v>
      </c>
      <c r="J238" s="44">
        <f t="shared" si="32"/>
        <v>-0.3636434096619347</v>
      </c>
      <c r="K238" s="45"/>
    </row>
    <row r="239" spans="7:11" x14ac:dyDescent="0.25">
      <c r="G239" s="26">
        <f t="shared" si="30"/>
        <v>5</v>
      </c>
      <c r="I239" s="43">
        <v>233</v>
      </c>
      <c r="J239" s="44">
        <f t="shared" si="32"/>
        <v>-0.37073018809778902</v>
      </c>
      <c r="K239" s="45"/>
    </row>
    <row r="240" spans="7:11" x14ac:dyDescent="0.25">
      <c r="G240" s="26">
        <f t="shared" si="30"/>
        <v>5</v>
      </c>
      <c r="I240" s="43">
        <v>234</v>
      </c>
      <c r="J240" s="44">
        <f t="shared" si="32"/>
        <v>-0.37767382097368185</v>
      </c>
      <c r="K240" s="45"/>
    </row>
    <row r="241" spans="7:11" x14ac:dyDescent="0.25">
      <c r="G241" s="26">
        <f t="shared" si="30"/>
        <v>5</v>
      </c>
      <c r="I241" s="43">
        <v>235</v>
      </c>
      <c r="J241" s="44">
        <f t="shared" si="32"/>
        <v>-0.38447641123106024</v>
      </c>
      <c r="K241" s="45"/>
    </row>
    <row r="242" spans="7:11" x14ac:dyDescent="0.25">
      <c r="G242" s="26">
        <f t="shared" si="30"/>
        <v>5</v>
      </c>
      <c r="I242" s="43">
        <v>236</v>
      </c>
      <c r="J242" s="44">
        <f t="shared" si="32"/>
        <v>-0.39114003718796253</v>
      </c>
      <c r="K242" s="45"/>
    </row>
    <row r="243" spans="7:11" x14ac:dyDescent="0.25">
      <c r="G243" s="26">
        <f t="shared" si="30"/>
        <v>5</v>
      </c>
      <c r="I243" s="43">
        <v>237</v>
      </c>
      <c r="J243" s="44">
        <f t="shared" si="32"/>
        <v>-0.39766675269494633</v>
      </c>
      <c r="K243" s="45"/>
    </row>
    <row r="244" spans="7:11" x14ac:dyDescent="0.25">
      <c r="G244" s="26">
        <f t="shared" si="30"/>
        <v>5</v>
      </c>
      <c r="I244" s="43">
        <v>238</v>
      </c>
      <c r="J244" s="44">
        <f t="shared" si="32"/>
        <v>-0.40405858729395605</v>
      </c>
      <c r="K244" s="45"/>
    </row>
    <row r="245" spans="7:11" x14ac:dyDescent="0.25">
      <c r="G245" s="26">
        <f t="shared" si="30"/>
        <v>5</v>
      </c>
      <c r="I245" s="43">
        <v>239</v>
      </c>
      <c r="J245" s="44">
        <f t="shared" si="32"/>
        <v>-0.41031754638006279</v>
      </c>
      <c r="K245" s="45"/>
    </row>
    <row r="246" spans="7:11" x14ac:dyDescent="0.25">
      <c r="G246" s="26">
        <f t="shared" si="30"/>
        <v>5</v>
      </c>
      <c r="I246" s="43">
        <v>240</v>
      </c>
      <c r="J246" s="44">
        <f t="shared" si="32"/>
        <v>-0.41644561136586455</v>
      </c>
      <c r="K246" s="45"/>
    </row>
    <row r="247" spans="7:11" x14ac:dyDescent="0.25">
      <c r="G247" s="26">
        <f t="shared" si="30"/>
        <v>5</v>
      </c>
      <c r="I247" s="43">
        <v>241</v>
      </c>
      <c r="J247" s="44">
        <f t="shared" si="32"/>
        <v>-0.42244473984837883</v>
      </c>
      <c r="K247" s="45"/>
    </row>
    <row r="248" spans="7:11" x14ac:dyDescent="0.25">
      <c r="G248" s="26">
        <f t="shared" si="30"/>
        <v>5</v>
      </c>
      <c r="I248" s="43">
        <v>242</v>
      </c>
      <c r="J248" s="44">
        <f t="shared" si="32"/>
        <v>-0.42831686577835254</v>
      </c>
      <c r="K248" s="45"/>
    </row>
    <row r="249" spans="7:11" x14ac:dyDescent="0.25">
      <c r="G249" s="26">
        <f t="shared" si="30"/>
        <v>5</v>
      </c>
      <c r="I249" s="43">
        <v>243</v>
      </c>
      <c r="J249" s="44">
        <f t="shared" si="32"/>
        <v>-0.43406389963172282</v>
      </c>
      <c r="K249" s="45"/>
    </row>
    <row r="250" spans="7:11" x14ac:dyDescent="0.25">
      <c r="G250" s="26">
        <f t="shared" si="30"/>
        <v>5</v>
      </c>
      <c r="I250" s="43">
        <v>244</v>
      </c>
      <c r="J250" s="44">
        <f t="shared" si="32"/>
        <v>-0.43968772858321065</v>
      </c>
      <c r="K250" s="45"/>
    </row>
    <row r="251" spans="7:11" x14ac:dyDescent="0.25">
      <c r="G251" s="26">
        <f t="shared" si="30"/>
        <v>5</v>
      </c>
      <c r="I251" s="43">
        <v>245</v>
      </c>
      <c r="J251" s="44">
        <f t="shared" si="32"/>
        <v>-0.44519021668181691</v>
      </c>
      <c r="K251" s="45"/>
    </row>
    <row r="252" spans="7:11" x14ac:dyDescent="0.25">
      <c r="G252" s="26">
        <f t="shared" si="30"/>
        <v>5</v>
      </c>
      <c r="I252" s="43">
        <v>246</v>
      </c>
      <c r="J252" s="44">
        <f t="shared" si="32"/>
        <v>-0.45057320502811032</v>
      </c>
      <c r="K252" s="45"/>
    </row>
    <row r="253" spans="7:11" x14ac:dyDescent="0.25">
      <c r="G253" s="26">
        <f t="shared" si="30"/>
        <v>5</v>
      </c>
      <c r="I253" s="43">
        <v>247</v>
      </c>
      <c r="J253" s="44">
        <f t="shared" si="32"/>
        <v>-0.45583851195323932</v>
      </c>
      <c r="K253" s="45"/>
    </row>
    <row r="254" spans="7:11" x14ac:dyDescent="0.25">
      <c r="G254" s="26">
        <f t="shared" si="30"/>
        <v>5</v>
      </c>
      <c r="I254" s="43">
        <v>248</v>
      </c>
      <c r="J254" s="44">
        <f t="shared" si="32"/>
        <v>-0.46098793319943321</v>
      </c>
      <c r="K254" s="45"/>
    </row>
    <row r="255" spans="7:11" x14ac:dyDescent="0.25">
      <c r="G255" s="26">
        <f t="shared" si="30"/>
        <v>5</v>
      </c>
      <c r="I255" s="43">
        <v>249</v>
      </c>
      <c r="J255" s="44">
        <f t="shared" si="32"/>
        <v>-0.46602324210197082</v>
      </c>
      <c r="K255" s="45"/>
    </row>
    <row r="256" spans="7:11" x14ac:dyDescent="0.25">
      <c r="G256" s="26">
        <f t="shared" si="30"/>
        <v>5</v>
      </c>
      <c r="I256" s="43">
        <v>250</v>
      </c>
      <c r="J256" s="44">
        <f t="shared" si="32"/>
        <v>-0.4709461897724308</v>
      </c>
      <c r="K256" s="45"/>
    </row>
    <row r="257" spans="9:11" x14ac:dyDescent="0.25">
      <c r="I257" s="43">
        <v>251</v>
      </c>
      <c r="J257" s="44">
        <f>-0.5+POWER((I257-250)/70,2)</f>
        <v>-0.49979591836734694</v>
      </c>
      <c r="K257" s="45"/>
    </row>
    <row r="258" spans="9:11" x14ac:dyDescent="0.25">
      <c r="I258" s="43">
        <v>252</v>
      </c>
      <c r="J258" s="44">
        <f t="shared" ref="J258:J281" si="33">-0.5+POWER((I258-250)/70,2)</f>
        <v>-0.49918367346938775</v>
      </c>
      <c r="K258" s="45"/>
    </row>
    <row r="259" spans="9:11" x14ac:dyDescent="0.25">
      <c r="I259" s="43">
        <v>253</v>
      </c>
      <c r="J259" s="44">
        <f t="shared" si="33"/>
        <v>-0.49816326530612243</v>
      </c>
      <c r="K259" s="45"/>
    </row>
    <row r="260" spans="9:11" x14ac:dyDescent="0.25">
      <c r="I260" s="43">
        <v>254</v>
      </c>
      <c r="J260" s="44">
        <f t="shared" si="33"/>
        <v>-0.49673469387755104</v>
      </c>
      <c r="K260" s="45"/>
    </row>
    <row r="261" spans="9:11" x14ac:dyDescent="0.25">
      <c r="I261" s="43">
        <v>255</v>
      </c>
      <c r="J261" s="44">
        <f t="shared" si="33"/>
        <v>-0.49489795918367346</v>
      </c>
      <c r="K261" s="45"/>
    </row>
    <row r="262" spans="9:11" x14ac:dyDescent="0.25">
      <c r="I262" s="43">
        <v>256</v>
      </c>
      <c r="J262" s="44">
        <f t="shared" si="33"/>
        <v>-0.49265306122448982</v>
      </c>
      <c r="K262" s="45"/>
    </row>
    <row r="263" spans="9:11" x14ac:dyDescent="0.25">
      <c r="I263" s="43">
        <v>257</v>
      </c>
      <c r="J263" s="44">
        <f t="shared" si="33"/>
        <v>-0.49</v>
      </c>
      <c r="K263" s="45"/>
    </row>
    <row r="264" spans="9:11" x14ac:dyDescent="0.25">
      <c r="I264" s="43">
        <v>258</v>
      </c>
      <c r="J264" s="44">
        <f t="shared" si="33"/>
        <v>-0.48693877551020409</v>
      </c>
      <c r="K264" s="45"/>
    </row>
    <row r="265" spans="9:11" x14ac:dyDescent="0.25">
      <c r="I265" s="43">
        <v>259</v>
      </c>
      <c r="J265" s="44">
        <f t="shared" si="33"/>
        <v>-0.48346938775510206</v>
      </c>
      <c r="K265" s="45"/>
    </row>
    <row r="266" spans="9:11" x14ac:dyDescent="0.25">
      <c r="I266" s="43">
        <v>260</v>
      </c>
      <c r="J266" s="44">
        <f t="shared" si="33"/>
        <v>-0.47959183673469385</v>
      </c>
      <c r="K266" s="45"/>
    </row>
    <row r="267" spans="9:11" x14ac:dyDescent="0.25">
      <c r="I267" s="43">
        <v>261</v>
      </c>
      <c r="J267" s="44">
        <f t="shared" si="33"/>
        <v>-0.47530612244897957</v>
      </c>
      <c r="K267" s="45"/>
    </row>
    <row r="268" spans="9:11" x14ac:dyDescent="0.25">
      <c r="I268" s="43">
        <v>262</v>
      </c>
      <c r="J268" s="44">
        <f t="shared" si="33"/>
        <v>-0.47061224489795916</v>
      </c>
      <c r="K268" s="45"/>
    </row>
    <row r="269" spans="9:11" x14ac:dyDescent="0.25">
      <c r="I269" s="43">
        <v>263</v>
      </c>
      <c r="J269" s="44">
        <f t="shared" si="33"/>
        <v>-0.46551020408163263</v>
      </c>
      <c r="K269" s="45"/>
    </row>
    <row r="270" spans="9:11" x14ac:dyDescent="0.25">
      <c r="I270" s="43">
        <v>264</v>
      </c>
      <c r="J270" s="44">
        <f t="shared" si="33"/>
        <v>-0.45999999999999996</v>
      </c>
      <c r="K270" s="45"/>
    </row>
    <row r="271" spans="9:11" x14ac:dyDescent="0.25">
      <c r="I271" s="43">
        <v>265</v>
      </c>
      <c r="J271" s="44">
        <f t="shared" si="33"/>
        <v>-0.45408163265306123</v>
      </c>
      <c r="K271" s="45"/>
    </row>
    <row r="272" spans="9:11" x14ac:dyDescent="0.25">
      <c r="I272" s="43">
        <v>266</v>
      </c>
      <c r="J272" s="44">
        <f t="shared" si="33"/>
        <v>-0.44775510204081631</v>
      </c>
      <c r="K272" s="45"/>
    </row>
    <row r="273" spans="9:11" x14ac:dyDescent="0.25">
      <c r="I273" s="43">
        <v>267</v>
      </c>
      <c r="J273" s="44">
        <f t="shared" si="33"/>
        <v>-0.44102040816326532</v>
      </c>
      <c r="K273" s="45"/>
    </row>
    <row r="274" spans="9:11" x14ac:dyDescent="0.25">
      <c r="I274" s="43">
        <v>268</v>
      </c>
      <c r="J274" s="44">
        <f t="shared" si="33"/>
        <v>-0.43387755102040815</v>
      </c>
      <c r="K274" s="45"/>
    </row>
    <row r="275" spans="9:11" x14ac:dyDescent="0.25">
      <c r="I275" s="43">
        <v>269</v>
      </c>
      <c r="J275" s="44">
        <f t="shared" si="33"/>
        <v>-0.4263265306122449</v>
      </c>
      <c r="K275" s="45"/>
    </row>
    <row r="276" spans="9:11" x14ac:dyDescent="0.25">
      <c r="I276" s="43">
        <v>270</v>
      </c>
      <c r="J276" s="44">
        <f t="shared" si="33"/>
        <v>-0.41836734693877553</v>
      </c>
      <c r="K276" s="45"/>
    </row>
    <row r="277" spans="9:11" x14ac:dyDescent="0.25">
      <c r="I277" s="43">
        <v>271</v>
      </c>
      <c r="J277" s="44">
        <f t="shared" si="33"/>
        <v>-0.41000000000000003</v>
      </c>
      <c r="K277" s="45"/>
    </row>
    <row r="278" spans="9:11" x14ac:dyDescent="0.25">
      <c r="I278" s="43">
        <v>272</v>
      </c>
      <c r="J278" s="44">
        <f t="shared" si="33"/>
        <v>-0.4012244897959184</v>
      </c>
      <c r="K278" s="45"/>
    </row>
    <row r="279" spans="9:11" x14ac:dyDescent="0.25">
      <c r="I279" s="43">
        <v>273</v>
      </c>
      <c r="J279" s="44">
        <f t="shared" si="33"/>
        <v>-0.39204081632653059</v>
      </c>
      <c r="K279" s="45"/>
    </row>
    <row r="280" spans="9:11" x14ac:dyDescent="0.25">
      <c r="I280" s="43">
        <v>274</v>
      </c>
      <c r="J280" s="44">
        <f t="shared" si="33"/>
        <v>-0.38244897959183671</v>
      </c>
      <c r="K280" s="45"/>
    </row>
    <row r="281" spans="9:11" x14ac:dyDescent="0.25">
      <c r="I281" s="43">
        <v>275</v>
      </c>
      <c r="J281" s="44">
        <f t="shared" si="33"/>
        <v>-0.37244897959183676</v>
      </c>
      <c r="K281" s="45"/>
    </row>
    <row r="282" spans="9:11" x14ac:dyDescent="0.25">
      <c r="I282" s="43">
        <v>276</v>
      </c>
      <c r="J282" s="44">
        <f t="shared" ref="J282:J306" si="34">0.5-250/POWER(I282,1.007)</f>
        <v>-0.37085241999921459</v>
      </c>
      <c r="K282" s="45"/>
    </row>
    <row r="283" spans="9:11" x14ac:dyDescent="0.25">
      <c r="I283" s="43">
        <v>277</v>
      </c>
      <c r="J283" s="44">
        <f t="shared" si="34"/>
        <v>-0.36768658139596666</v>
      </c>
      <c r="K283" s="45"/>
    </row>
    <row r="284" spans="9:11" x14ac:dyDescent="0.25">
      <c r="I284" s="43">
        <v>278</v>
      </c>
      <c r="J284" s="44">
        <f t="shared" si="34"/>
        <v>-0.36454359803710434</v>
      </c>
      <c r="K284" s="45"/>
    </row>
    <row r="285" spans="9:11" x14ac:dyDescent="0.25">
      <c r="I285" s="28">
        <v>279</v>
      </c>
      <c r="J285" s="26">
        <f t="shared" si="34"/>
        <v>-0.36142322359697665</v>
      </c>
    </row>
    <row r="286" spans="9:11" x14ac:dyDescent="0.25">
      <c r="I286" s="28">
        <v>280</v>
      </c>
      <c r="J286" s="26">
        <f t="shared" si="34"/>
        <v>-0.35832521527499006</v>
      </c>
    </row>
    <row r="287" spans="9:11" x14ac:dyDescent="0.25">
      <c r="I287" s="28">
        <v>281</v>
      </c>
      <c r="J287" s="26">
        <f t="shared" si="34"/>
        <v>-0.35524933373278955</v>
      </c>
    </row>
    <row r="288" spans="9:11" x14ac:dyDescent="0.25">
      <c r="I288" s="28">
        <v>282</v>
      </c>
      <c r="J288" s="26">
        <f t="shared" si="34"/>
        <v>-0.35219534303278899</v>
      </c>
    </row>
    <row r="289" spans="9:10" x14ac:dyDescent="0.25">
      <c r="I289" s="28">
        <v>283</v>
      </c>
      <c r="J289" s="26">
        <f t="shared" si="34"/>
        <v>-0.34916301057800569</v>
      </c>
    </row>
    <row r="290" spans="9:10" x14ac:dyDescent="0.25">
      <c r="I290" s="28">
        <v>284</v>
      </c>
      <c r="J290" s="26">
        <f t="shared" si="34"/>
        <v>-0.34615210705316124</v>
      </c>
    </row>
    <row r="291" spans="9:10" x14ac:dyDescent="0.25">
      <c r="I291" s="28">
        <v>285</v>
      </c>
      <c r="J291" s="26">
        <f t="shared" si="34"/>
        <v>-0.34316240636703099</v>
      </c>
    </row>
    <row r="292" spans="9:10" x14ac:dyDescent="0.25">
      <c r="I292" s="28">
        <v>286</v>
      </c>
      <c r="J292" s="26">
        <f t="shared" si="34"/>
        <v>-0.34019368559599983</v>
      </c>
    </row>
    <row r="293" spans="9:10" x14ac:dyDescent="0.25">
      <c r="I293" s="28">
        <v>287</v>
      </c>
      <c r="J293" s="26">
        <f t="shared" si="34"/>
        <v>-0.33724572492879945</v>
      </c>
    </row>
    <row r="294" spans="9:10" x14ac:dyDescent="0.25">
      <c r="I294" s="28">
        <v>288</v>
      </c>
      <c r="J294" s="26">
        <f t="shared" si="34"/>
        <v>-0.33431830761240466</v>
      </c>
    </row>
    <row r="295" spans="9:10" x14ac:dyDescent="0.25">
      <c r="I295" s="28">
        <v>289</v>
      </c>
      <c r="J295" s="26">
        <f t="shared" si="34"/>
        <v>-0.33141121989904265</v>
      </c>
    </row>
    <row r="296" spans="9:10" x14ac:dyDescent="0.25">
      <c r="I296" s="28">
        <v>290</v>
      </c>
      <c r="J296" s="26">
        <f t="shared" si="34"/>
        <v>-0.32852425099431171</v>
      </c>
    </row>
    <row r="297" spans="9:10" x14ac:dyDescent="0.25">
      <c r="I297" s="28">
        <v>291</v>
      </c>
      <c r="J297" s="26">
        <f t="shared" si="34"/>
        <v>-0.32565719300636009</v>
      </c>
    </row>
    <row r="298" spans="9:10" x14ac:dyDescent="0.25">
      <c r="I298" s="28">
        <v>292</v>
      </c>
      <c r="J298" s="26">
        <f t="shared" si="34"/>
        <v>-0.32280984089612352</v>
      </c>
    </row>
    <row r="299" spans="9:10" x14ac:dyDescent="0.25">
      <c r="I299" s="28">
        <v>293</v>
      </c>
      <c r="J299" s="26">
        <f t="shared" si="34"/>
        <v>-0.3199819924285664</v>
      </c>
    </row>
    <row r="300" spans="9:10" x14ac:dyDescent="0.25">
      <c r="I300" s="28">
        <v>294</v>
      </c>
      <c r="J300" s="26">
        <f t="shared" si="34"/>
        <v>-0.31717344812493631</v>
      </c>
    </row>
    <row r="301" spans="9:10" x14ac:dyDescent="0.25">
      <c r="I301" s="28">
        <v>295</v>
      </c>
      <c r="J301" s="26">
        <f t="shared" si="34"/>
        <v>-0.31438401121597503</v>
      </c>
    </row>
    <row r="302" spans="9:10" x14ac:dyDescent="0.25">
      <c r="I302" s="28">
        <v>296</v>
      </c>
      <c r="J302" s="26">
        <f t="shared" si="34"/>
        <v>-0.31161348759609264</v>
      </c>
    </row>
    <row r="303" spans="9:10" x14ac:dyDescent="0.25">
      <c r="I303" s="28">
        <v>297</v>
      </c>
      <c r="J303" s="26">
        <f t="shared" si="34"/>
        <v>-0.30886168577845863</v>
      </c>
    </row>
    <row r="304" spans="9:10" x14ac:dyDescent="0.25">
      <c r="I304" s="28">
        <v>298</v>
      </c>
      <c r="J304" s="26">
        <f t="shared" si="34"/>
        <v>-0.30612841685100456</v>
      </c>
    </row>
    <row r="305" spans="9:10" x14ac:dyDescent="0.25">
      <c r="I305" s="28">
        <v>299</v>
      </c>
      <c r="J305" s="26">
        <f t="shared" si="34"/>
        <v>-0.3034134944333039</v>
      </c>
    </row>
    <row r="306" spans="9:10" x14ac:dyDescent="0.25">
      <c r="I306" s="28">
        <v>300</v>
      </c>
      <c r="J306" s="26">
        <f t="shared" si="34"/>
        <v>-0.30071673463432702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topLeftCell="B1" zoomScaleNormal="100" workbookViewId="0">
      <selection activeCell="B24" sqref="B24"/>
    </sheetView>
  </sheetViews>
  <sheetFormatPr defaultRowHeight="15" x14ac:dyDescent="0.25"/>
  <cols>
    <col min="1" max="1" width="5.7109375" customWidth="1"/>
    <col min="2" max="2" width="21.140625" customWidth="1"/>
    <col min="3" max="3" width="19.42578125" customWidth="1"/>
  </cols>
  <sheetData>
    <row r="1" spans="2:12" ht="26.25" x14ac:dyDescent="0.4">
      <c r="E1" s="52" t="s">
        <v>42</v>
      </c>
    </row>
    <row r="2" spans="2:12" ht="18" customHeight="1" x14ac:dyDescent="0.25">
      <c r="B2" s="4" t="s">
        <v>7</v>
      </c>
      <c r="C2" s="4"/>
      <c r="D2" s="6" t="s">
        <v>5</v>
      </c>
    </row>
    <row r="3" spans="2:12" x14ac:dyDescent="0.25">
      <c r="B3" s="1" t="s">
        <v>11</v>
      </c>
      <c r="C3" s="7"/>
      <c r="D3" s="12">
        <f>D13</f>
        <v>84.590373814802547</v>
      </c>
      <c r="E3" s="12">
        <f t="shared" ref="E3:J3" si="0">E13</f>
        <v>86.134273823512302</v>
      </c>
      <c r="F3" s="12">
        <f t="shared" si="0"/>
        <v>88.114734409530442</v>
      </c>
      <c r="G3" s="12">
        <f t="shared" si="0"/>
        <v>90.600708246856613</v>
      </c>
      <c r="H3" s="12">
        <f t="shared" si="0"/>
        <v>93.688625848980422</v>
      </c>
      <c r="I3" s="48">
        <f t="shared" si="0"/>
        <v>97.514983430223126</v>
      </c>
      <c r="J3" s="12">
        <f t="shared" si="0"/>
        <v>102.27750002717808</v>
      </c>
      <c r="K3" s="60" t="s">
        <v>23</v>
      </c>
      <c r="L3" s="61"/>
    </row>
    <row r="4" spans="2:12" x14ac:dyDescent="0.25">
      <c r="B4" s="2" t="s">
        <v>6</v>
      </c>
      <c r="C4" s="8"/>
      <c r="D4" s="13">
        <v>20</v>
      </c>
      <c r="E4" s="13">
        <v>25</v>
      </c>
      <c r="F4" s="13">
        <v>30</v>
      </c>
      <c r="G4" s="13">
        <v>35</v>
      </c>
      <c r="H4" s="42">
        <v>40</v>
      </c>
      <c r="I4" s="49">
        <v>45</v>
      </c>
      <c r="J4" s="42">
        <v>50</v>
      </c>
      <c r="K4" s="61"/>
      <c r="L4" s="61"/>
    </row>
    <row r="5" spans="2:12" x14ac:dyDescent="0.25">
      <c r="B5" s="2" t="s">
        <v>34</v>
      </c>
      <c r="C5" s="8"/>
      <c r="D5" s="14">
        <v>82</v>
      </c>
      <c r="E5" s="14">
        <f>D5</f>
        <v>82</v>
      </c>
      <c r="F5" s="14">
        <f t="shared" ref="F5:I5" si="1">E5</f>
        <v>82</v>
      </c>
      <c r="G5" s="14">
        <f t="shared" si="1"/>
        <v>82</v>
      </c>
      <c r="H5" s="14">
        <f t="shared" si="1"/>
        <v>82</v>
      </c>
      <c r="I5" s="14">
        <f t="shared" si="1"/>
        <v>82</v>
      </c>
      <c r="J5" s="14">
        <f t="shared" ref="J5" si="2">I5</f>
        <v>82</v>
      </c>
      <c r="K5" s="61"/>
      <c r="L5" s="61"/>
    </row>
    <row r="6" spans="2:12" ht="12.75" customHeight="1" x14ac:dyDescent="0.25">
      <c r="B6" s="2" t="s">
        <v>35</v>
      </c>
      <c r="C6" s="8"/>
      <c r="D6" s="22">
        <f>0.8*(1+D12)</f>
        <v>0.82527193965661017</v>
      </c>
      <c r="E6" s="22">
        <f t="shared" ref="E6:J6" si="3">0.8*(1+E12)</f>
        <v>0.84033437876597361</v>
      </c>
      <c r="F6" s="22">
        <f t="shared" si="3"/>
        <v>0.85965594545883361</v>
      </c>
      <c r="G6" s="22">
        <f t="shared" si="3"/>
        <v>0.88390934874982063</v>
      </c>
      <c r="H6" s="22">
        <f t="shared" si="3"/>
        <v>0.91403537413639446</v>
      </c>
      <c r="I6" s="22">
        <f t="shared" si="3"/>
        <v>0.95136569200217691</v>
      </c>
      <c r="J6" s="22">
        <f t="shared" si="3"/>
        <v>0.99782926855783494</v>
      </c>
      <c r="K6" s="61"/>
      <c r="L6" s="61"/>
    </row>
    <row r="7" spans="2:12" ht="12.75" customHeight="1" x14ac:dyDescent="0.25">
      <c r="B7" s="2" t="s">
        <v>36</v>
      </c>
      <c r="C7" s="8"/>
      <c r="D7" s="22">
        <f>D6/COS(PI()*D4/180)</f>
        <v>0.87823605443064678</v>
      </c>
      <c r="E7" s="22">
        <f t="shared" ref="E7:J7" si="4">E6/COS(PI()*E4/180)</f>
        <v>0.92720639807543836</v>
      </c>
      <c r="F7" s="22">
        <f t="shared" si="4"/>
        <v>0.99264518304223959</v>
      </c>
      <c r="G7" s="22">
        <f t="shared" si="4"/>
        <v>1.0790540717224688</v>
      </c>
      <c r="H7" s="22">
        <f t="shared" si="4"/>
        <v>1.1931884401052057</v>
      </c>
      <c r="I7" s="22">
        <f t="shared" si="4"/>
        <v>1.3454342644059432</v>
      </c>
      <c r="J7" s="22">
        <f t="shared" si="4"/>
        <v>1.552346768234121</v>
      </c>
      <c r="K7" s="61"/>
      <c r="L7" s="61"/>
    </row>
    <row r="8" spans="2:12" x14ac:dyDescent="0.25">
      <c r="B8" s="3" t="s">
        <v>0</v>
      </c>
      <c r="C8" s="9"/>
      <c r="D8" s="15">
        <v>9.81</v>
      </c>
      <c r="E8" s="15">
        <v>9.81</v>
      </c>
      <c r="F8" s="15">
        <v>9.81</v>
      </c>
      <c r="G8" s="15">
        <v>9.81</v>
      </c>
      <c r="H8" s="15">
        <v>9.81</v>
      </c>
      <c r="I8" s="15">
        <v>9.81</v>
      </c>
      <c r="J8" s="15">
        <v>9.81</v>
      </c>
      <c r="K8" s="61"/>
      <c r="L8" s="61"/>
    </row>
    <row r="9" spans="2:12" x14ac:dyDescent="0.25">
      <c r="B9" s="11"/>
      <c r="C9" s="11"/>
      <c r="D9" s="10"/>
      <c r="E9" s="10"/>
      <c r="F9" s="10"/>
      <c r="G9" s="10"/>
      <c r="H9" s="10"/>
      <c r="I9" s="10"/>
      <c r="J9" s="10"/>
      <c r="K9" s="61"/>
      <c r="L9" s="61"/>
    </row>
    <row r="10" spans="2:12" x14ac:dyDescent="0.25">
      <c r="K10" s="61"/>
      <c r="L10" s="61"/>
    </row>
    <row r="11" spans="2:12" x14ac:dyDescent="0.25">
      <c r="B11" s="1" t="s">
        <v>1</v>
      </c>
      <c r="C11" s="7"/>
      <c r="D11" s="16">
        <f t="shared" ref="D11:I11" si="5">1/COS(RADIANS(D4))</f>
        <v>1.0641777724759121</v>
      </c>
      <c r="E11" s="16">
        <f t="shared" si="5"/>
        <v>1.1033779189624917</v>
      </c>
      <c r="F11" s="16">
        <f t="shared" si="5"/>
        <v>1.1547005383792515</v>
      </c>
      <c r="G11" s="16">
        <f t="shared" si="5"/>
        <v>1.2207745887614561</v>
      </c>
      <c r="H11" s="16">
        <f t="shared" si="5"/>
        <v>1.3054072893322786</v>
      </c>
      <c r="I11" s="16">
        <f t="shared" si="5"/>
        <v>1.4142135623730949</v>
      </c>
      <c r="J11" s="16">
        <f t="shared" ref="J11" si="6">1/COS(RADIANS(J4))</f>
        <v>1.5557238268604123</v>
      </c>
      <c r="K11" s="61"/>
      <c r="L11" s="61"/>
    </row>
    <row r="12" spans="2:12" x14ac:dyDescent="0.25">
      <c r="B12" s="2" t="s">
        <v>10</v>
      </c>
      <c r="C12" s="8"/>
      <c r="D12" s="17">
        <f t="shared" ref="D12:J12" si="7">POWER(D11,0.5)-1</f>
        <v>3.1589924570762706E-2</v>
      </c>
      <c r="E12" s="17">
        <f t="shared" si="7"/>
        <v>5.0417973457467014E-2</v>
      </c>
      <c r="F12" s="17">
        <f t="shared" si="7"/>
        <v>7.4569931823541991E-2</v>
      </c>
      <c r="G12" s="17">
        <f t="shared" si="7"/>
        <v>0.10488668593727568</v>
      </c>
      <c r="H12" s="17">
        <f t="shared" si="7"/>
        <v>0.14254421767049297</v>
      </c>
      <c r="I12" s="17">
        <f t="shared" si="7"/>
        <v>0.18920711500272103</v>
      </c>
      <c r="J12" s="17">
        <f t="shared" si="7"/>
        <v>0.24728658569729367</v>
      </c>
      <c r="K12" s="61"/>
      <c r="L12" s="61"/>
    </row>
    <row r="13" spans="2:12" ht="18" customHeight="1" x14ac:dyDescent="0.25">
      <c r="B13" s="2" t="s">
        <v>16</v>
      </c>
      <c r="C13" s="8"/>
      <c r="D13" s="18">
        <f t="shared" ref="D13:J13" si="8">D5+D5*D12</f>
        <v>84.590373814802547</v>
      </c>
      <c r="E13" s="18">
        <f t="shared" si="8"/>
        <v>86.134273823512302</v>
      </c>
      <c r="F13" s="18">
        <f t="shared" si="8"/>
        <v>88.114734409530442</v>
      </c>
      <c r="G13" s="18">
        <f t="shared" si="8"/>
        <v>90.600708246856613</v>
      </c>
      <c r="H13" s="18">
        <f t="shared" si="8"/>
        <v>93.688625848980422</v>
      </c>
      <c r="I13" s="18">
        <f t="shared" si="8"/>
        <v>97.514983430223126</v>
      </c>
      <c r="J13" s="18">
        <f t="shared" si="8"/>
        <v>102.27750002717808</v>
      </c>
      <c r="K13" s="61"/>
      <c r="L13" s="61"/>
    </row>
    <row r="14" spans="2:12" x14ac:dyDescent="0.25">
      <c r="B14" s="2" t="s">
        <v>2</v>
      </c>
      <c r="C14" s="8"/>
      <c r="D14" s="19">
        <f t="shared" ref="D14:I14" si="9">(D3/3.6*D3/3.6)/(D8*TAN(RADIANS(D4)))</f>
        <v>154.63293932476779</v>
      </c>
      <c r="E14" s="19">
        <f t="shared" si="9"/>
        <v>125.14267569245763</v>
      </c>
      <c r="F14" s="19">
        <f t="shared" si="9"/>
        <v>105.77516014145306</v>
      </c>
      <c r="G14" s="19">
        <f t="shared" si="9"/>
        <v>92.206682002462401</v>
      </c>
      <c r="H14" s="19">
        <f t="shared" si="9"/>
        <v>82.278468461017155</v>
      </c>
      <c r="I14" s="19">
        <f t="shared" si="9"/>
        <v>74.794333017114454</v>
      </c>
      <c r="J14" s="19">
        <f t="shared" ref="J14" si="10">(J3/3.6*J3/3.6)/(J8*TAN(RADIANS(J4)))</f>
        <v>69.039832539470936</v>
      </c>
      <c r="K14" s="61"/>
      <c r="L14" s="61"/>
    </row>
    <row r="15" spans="2:12" x14ac:dyDescent="0.25">
      <c r="B15" s="2" t="s">
        <v>9</v>
      </c>
      <c r="C15" s="8"/>
      <c r="D15" s="19">
        <f t="shared" ref="D15:J15" si="11">D14*2</f>
        <v>309.26587864953558</v>
      </c>
      <c r="E15" s="19">
        <f t="shared" si="11"/>
        <v>250.28535138491526</v>
      </c>
      <c r="F15" s="19">
        <f t="shared" si="11"/>
        <v>211.55032028290611</v>
      </c>
      <c r="G15" s="19">
        <f t="shared" si="11"/>
        <v>184.4133640049248</v>
      </c>
      <c r="H15" s="19">
        <f t="shared" si="11"/>
        <v>164.55693692203431</v>
      </c>
      <c r="I15" s="19">
        <f t="shared" si="11"/>
        <v>149.58866603422891</v>
      </c>
      <c r="J15" s="19">
        <f t="shared" si="11"/>
        <v>138.07966507894187</v>
      </c>
      <c r="K15" s="61"/>
      <c r="L15" s="61"/>
    </row>
    <row r="16" spans="2:12" x14ac:dyDescent="0.25">
      <c r="B16" s="2" t="s">
        <v>8</v>
      </c>
      <c r="C16" s="8"/>
      <c r="D16" s="19">
        <f t="shared" ref="D16:I16" si="12">2*PI()*D14</f>
        <v>971.58741237137338</v>
      </c>
      <c r="E16" s="19">
        <f t="shared" si="12"/>
        <v>786.29462121198969</v>
      </c>
      <c r="F16" s="19">
        <f t="shared" si="12"/>
        <v>664.60493206534568</v>
      </c>
      <c r="G16" s="19">
        <f t="shared" si="12"/>
        <v>579.35166958165212</v>
      </c>
      <c r="H16" s="19">
        <f t="shared" si="12"/>
        <v>516.97086413150203</v>
      </c>
      <c r="I16" s="19">
        <f t="shared" si="12"/>
        <v>469.94665427343057</v>
      </c>
      <c r="J16" s="19">
        <f t="shared" ref="J16" si="13">2*PI()*J14</f>
        <v>433.79006142214291</v>
      </c>
      <c r="K16" s="61"/>
      <c r="L16" s="61"/>
    </row>
    <row r="17" spans="2:12" x14ac:dyDescent="0.25">
      <c r="B17" s="23" t="s">
        <v>17</v>
      </c>
      <c r="C17" s="24"/>
      <c r="D17" s="41">
        <f>0.82-D7</f>
        <v>-5.8236054430646833E-2</v>
      </c>
      <c r="E17" s="25">
        <f>1.81-E7</f>
        <v>0.88279360192456169</v>
      </c>
      <c r="F17" s="25">
        <f>2.65-F7</f>
        <v>1.6573548169577603</v>
      </c>
      <c r="G17" s="25">
        <f>3.27-G7</f>
        <v>2.1909459282775314</v>
      </c>
      <c r="H17" s="25">
        <f>3.63-H7</f>
        <v>2.4368115598947941</v>
      </c>
      <c r="I17" s="50">
        <f>3.85-I7</f>
        <v>2.5045657355940572</v>
      </c>
      <c r="J17" s="25">
        <f>4.03-J7</f>
        <v>2.4776532317658795</v>
      </c>
      <c r="K17" s="61"/>
      <c r="L17" s="61"/>
    </row>
    <row r="18" spans="2:12" x14ac:dyDescent="0.25">
      <c r="B18" s="2" t="s">
        <v>3</v>
      </c>
      <c r="C18" s="8"/>
      <c r="D18" s="20">
        <f t="shared" ref="D18:J18" si="14">D16/D3*3.6</f>
        <v>41.348850073586931</v>
      </c>
      <c r="E18" s="20">
        <f t="shared" si="14"/>
        <v>32.863348243501072</v>
      </c>
      <c r="F18" s="20">
        <f t="shared" si="14"/>
        <v>27.152981524239429</v>
      </c>
      <c r="G18" s="20">
        <f t="shared" si="14"/>
        <v>23.020416184950847</v>
      </c>
      <c r="H18" s="20">
        <f t="shared" si="14"/>
        <v>19.864685750363805</v>
      </c>
      <c r="I18" s="51">
        <f t="shared" si="14"/>
        <v>17.349210304639222</v>
      </c>
      <c r="J18" s="20">
        <f t="shared" si="14"/>
        <v>15.268697618779699</v>
      </c>
      <c r="K18" s="61"/>
      <c r="L18" s="61"/>
    </row>
    <row r="19" spans="2:12" x14ac:dyDescent="0.25">
      <c r="B19" s="2" t="s">
        <v>33</v>
      </c>
      <c r="C19" s="8"/>
      <c r="D19" s="47">
        <f>D18*D17</f>
        <v>-2.4079938835300636</v>
      </c>
      <c r="E19" s="47">
        <f t="shared" ref="E19:J19" si="15">E18*E17</f>
        <v>29.011553567181529</v>
      </c>
      <c r="F19" s="47">
        <f t="shared" si="15"/>
        <v>45.002124723963284</v>
      </c>
      <c r="G19" s="47">
        <f t="shared" si="15"/>
        <v>50.436487107672242</v>
      </c>
      <c r="H19" s="47">
        <f t="shared" si="15"/>
        <v>48.406495870163909</v>
      </c>
      <c r="I19" s="47">
        <f t="shared" si="15"/>
        <v>43.452237668614728</v>
      </c>
      <c r="J19" s="47">
        <f t="shared" si="15"/>
        <v>37.830538000025513</v>
      </c>
      <c r="K19" s="61"/>
      <c r="L19" s="61"/>
    </row>
    <row r="20" spans="2:12" x14ac:dyDescent="0.25">
      <c r="B20" s="3" t="s">
        <v>4</v>
      </c>
      <c r="C20" s="9"/>
      <c r="D20" s="21">
        <f t="shared" ref="D20:J20" si="16">360/D18</f>
        <v>8.7064089898345927</v>
      </c>
      <c r="E20" s="21">
        <f t="shared" si="16"/>
        <v>10.954452885706562</v>
      </c>
      <c r="F20" s="21">
        <f t="shared" si="16"/>
        <v>13.258212534731351</v>
      </c>
      <c r="G20" s="21">
        <f t="shared" si="16"/>
        <v>15.638292423025048</v>
      </c>
      <c r="H20" s="21">
        <f t="shared" si="16"/>
        <v>18.122612384814943</v>
      </c>
      <c r="I20" s="21">
        <f t="shared" si="16"/>
        <v>20.750223997442415</v>
      </c>
      <c r="J20" s="21">
        <f t="shared" si="16"/>
        <v>23.577649449106833</v>
      </c>
    </row>
    <row r="21" spans="2:12" x14ac:dyDescent="0.25">
      <c r="C21" s="5" t="s">
        <v>12</v>
      </c>
    </row>
    <row r="23" spans="2:12" x14ac:dyDescent="0.25">
      <c r="B23" s="46" t="s">
        <v>45</v>
      </c>
    </row>
  </sheetData>
  <mergeCells count="1">
    <mergeCell ref="K3:L19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topLeftCell="B1" zoomScaleNormal="100" workbookViewId="0">
      <selection activeCell="J26" sqref="J26"/>
    </sheetView>
  </sheetViews>
  <sheetFormatPr defaultRowHeight="15" x14ac:dyDescent="0.25"/>
  <cols>
    <col min="1" max="1" width="5.7109375" customWidth="1"/>
    <col min="2" max="2" width="21.140625" customWidth="1"/>
    <col min="3" max="3" width="19.42578125" customWidth="1"/>
  </cols>
  <sheetData>
    <row r="1" spans="2:12" ht="26.25" x14ac:dyDescent="0.4">
      <c r="E1" s="52" t="s">
        <v>44</v>
      </c>
    </row>
    <row r="2" spans="2:12" ht="18" customHeight="1" x14ac:dyDescent="0.25">
      <c r="B2" s="4" t="s">
        <v>7</v>
      </c>
      <c r="C2" s="4"/>
      <c r="D2" s="6" t="s">
        <v>5</v>
      </c>
    </row>
    <row r="3" spans="2:12" x14ac:dyDescent="0.25">
      <c r="B3" s="1" t="s">
        <v>11</v>
      </c>
      <c r="C3" s="7"/>
      <c r="D3" s="12">
        <f>D13</f>
        <v>77.369244342807207</v>
      </c>
      <c r="E3" s="12">
        <f t="shared" ref="E3:J3" si="0">E13</f>
        <v>78.781348009310022</v>
      </c>
      <c r="F3" s="12">
        <f t="shared" si="0"/>
        <v>80.592744886765644</v>
      </c>
      <c r="G3" s="12">
        <f t="shared" si="0"/>
        <v>82.866501445295683</v>
      </c>
      <c r="H3" s="48">
        <f t="shared" si="0"/>
        <v>85.690816325286974</v>
      </c>
      <c r="I3" s="56">
        <f t="shared" si="0"/>
        <v>89.190533625204083</v>
      </c>
      <c r="J3" s="12">
        <f t="shared" si="0"/>
        <v>93.546493927297021</v>
      </c>
      <c r="K3" s="60" t="s">
        <v>23</v>
      </c>
      <c r="L3" s="61"/>
    </row>
    <row r="4" spans="2:12" x14ac:dyDescent="0.25">
      <c r="B4" s="2" t="s">
        <v>6</v>
      </c>
      <c r="C4" s="8"/>
      <c r="D4" s="13">
        <v>20</v>
      </c>
      <c r="E4" s="13">
        <v>25</v>
      </c>
      <c r="F4" s="13">
        <v>30</v>
      </c>
      <c r="G4" s="13">
        <v>35</v>
      </c>
      <c r="H4" s="49">
        <v>40</v>
      </c>
      <c r="I4" s="57">
        <v>45</v>
      </c>
      <c r="J4" s="42">
        <v>50</v>
      </c>
      <c r="K4" s="61"/>
      <c r="L4" s="61"/>
    </row>
    <row r="5" spans="2:12" x14ac:dyDescent="0.25">
      <c r="B5" s="2" t="s">
        <v>34</v>
      </c>
      <c r="C5" s="8"/>
      <c r="D5" s="14">
        <v>75</v>
      </c>
      <c r="E5" s="14">
        <f>D5</f>
        <v>75</v>
      </c>
      <c r="F5" s="14">
        <f t="shared" ref="F5:J5" si="1">E5</f>
        <v>75</v>
      </c>
      <c r="G5" s="14">
        <f t="shared" si="1"/>
        <v>75</v>
      </c>
      <c r="H5" s="14">
        <f t="shared" si="1"/>
        <v>75</v>
      </c>
      <c r="I5" s="14">
        <f t="shared" si="1"/>
        <v>75</v>
      </c>
      <c r="J5" s="14">
        <f t="shared" si="1"/>
        <v>75</v>
      </c>
      <c r="K5" s="61"/>
      <c r="L5" s="61"/>
    </row>
    <row r="6" spans="2:12" ht="12.75" customHeight="1" x14ac:dyDescent="0.25">
      <c r="B6" s="2" t="s">
        <v>35</v>
      </c>
      <c r="C6" s="8"/>
      <c r="D6" s="22">
        <f>0.64*(1+D12)</f>
        <v>0.66021755172528818</v>
      </c>
      <c r="E6" s="22">
        <f>0.64*(1+E12)</f>
        <v>0.67226750301277893</v>
      </c>
      <c r="F6" s="22">
        <f>0.64*(1+F12)</f>
        <v>0.68772475636706687</v>
      </c>
      <c r="G6" s="22">
        <f>0.65*(1+G12)</f>
        <v>0.71817634585922918</v>
      </c>
      <c r="H6" s="22">
        <f>0.67*(1+H12)</f>
        <v>0.76550462583923029</v>
      </c>
      <c r="I6" s="22">
        <f>0.7*(1+I12)</f>
        <v>0.83244498050190463</v>
      </c>
      <c r="J6" s="22">
        <f>0.73*(1+J12)</f>
        <v>0.91051920755902438</v>
      </c>
      <c r="K6" s="61"/>
      <c r="L6" s="61"/>
    </row>
    <row r="7" spans="2:12" ht="12.75" customHeight="1" x14ac:dyDescent="0.25">
      <c r="B7" s="2" t="s">
        <v>36</v>
      </c>
      <c r="C7" s="8"/>
      <c r="D7" s="22">
        <f>D6/COS(PI()*D4/180)</f>
        <v>0.70258884354451745</v>
      </c>
      <c r="E7" s="22">
        <f t="shared" ref="E7:J7" si="2">E6/COS(PI()*E4/180)</f>
        <v>0.74176511846035065</v>
      </c>
      <c r="F7" s="22">
        <f t="shared" si="2"/>
        <v>0.79411614643379169</v>
      </c>
      <c r="G7" s="22">
        <f t="shared" si="2"/>
        <v>0.87673143327450576</v>
      </c>
      <c r="H7" s="22">
        <f t="shared" si="2"/>
        <v>0.99929531858810983</v>
      </c>
      <c r="I7" s="22">
        <f t="shared" si="2"/>
        <v>1.1772549813552</v>
      </c>
      <c r="J7" s="22">
        <f t="shared" si="2"/>
        <v>1.4165164260136354</v>
      </c>
      <c r="K7" s="61"/>
      <c r="L7" s="61"/>
    </row>
    <row r="8" spans="2:12" x14ac:dyDescent="0.25">
      <c r="B8" s="3" t="s">
        <v>0</v>
      </c>
      <c r="C8" s="9"/>
      <c r="D8" s="15">
        <v>9.81</v>
      </c>
      <c r="E8" s="15">
        <v>9.81</v>
      </c>
      <c r="F8" s="15">
        <v>9.81</v>
      </c>
      <c r="G8" s="15">
        <v>9.81</v>
      </c>
      <c r="H8" s="15">
        <v>9.81</v>
      </c>
      <c r="I8" s="15">
        <v>9.81</v>
      </c>
      <c r="J8" s="15">
        <v>9.81</v>
      </c>
      <c r="K8" s="61"/>
      <c r="L8" s="61"/>
    </row>
    <row r="9" spans="2:12" x14ac:dyDescent="0.25">
      <c r="B9" s="11"/>
      <c r="C9" s="11"/>
      <c r="D9" s="10"/>
      <c r="E9" s="10"/>
      <c r="F9" s="10"/>
      <c r="G9" s="10"/>
      <c r="H9" s="10"/>
      <c r="I9" s="10"/>
      <c r="J9" s="10"/>
      <c r="K9" s="61"/>
      <c r="L9" s="61"/>
    </row>
    <row r="10" spans="2:12" x14ac:dyDescent="0.25">
      <c r="K10" s="61"/>
      <c r="L10" s="61"/>
    </row>
    <row r="11" spans="2:12" x14ac:dyDescent="0.25">
      <c r="B11" s="1" t="s">
        <v>1</v>
      </c>
      <c r="C11" s="7"/>
      <c r="D11" s="16">
        <f t="shared" ref="D11:J11" si="3">1/COS(RADIANS(D4))</f>
        <v>1.0641777724759121</v>
      </c>
      <c r="E11" s="16">
        <f t="shared" si="3"/>
        <v>1.1033779189624917</v>
      </c>
      <c r="F11" s="16">
        <f t="shared" si="3"/>
        <v>1.1547005383792515</v>
      </c>
      <c r="G11" s="16">
        <f t="shared" si="3"/>
        <v>1.2207745887614561</v>
      </c>
      <c r="H11" s="16">
        <f t="shared" si="3"/>
        <v>1.3054072893322786</v>
      </c>
      <c r="I11" s="16">
        <f t="shared" si="3"/>
        <v>1.4142135623730949</v>
      </c>
      <c r="J11" s="16">
        <f t="shared" si="3"/>
        <v>1.5557238268604123</v>
      </c>
      <c r="K11" s="61"/>
      <c r="L11" s="61"/>
    </row>
    <row r="12" spans="2:12" x14ac:dyDescent="0.25">
      <c r="B12" s="2" t="s">
        <v>10</v>
      </c>
      <c r="C12" s="8"/>
      <c r="D12" s="17">
        <f t="shared" ref="D12:J12" si="4">POWER(D11,0.5)-1</f>
        <v>3.1589924570762706E-2</v>
      </c>
      <c r="E12" s="17">
        <f t="shared" si="4"/>
        <v>5.0417973457467014E-2</v>
      </c>
      <c r="F12" s="17">
        <f t="shared" si="4"/>
        <v>7.4569931823541991E-2</v>
      </c>
      <c r="G12" s="17">
        <f t="shared" si="4"/>
        <v>0.10488668593727568</v>
      </c>
      <c r="H12" s="17">
        <f t="shared" si="4"/>
        <v>0.14254421767049297</v>
      </c>
      <c r="I12" s="17">
        <f t="shared" si="4"/>
        <v>0.18920711500272103</v>
      </c>
      <c r="J12" s="17">
        <f t="shared" si="4"/>
        <v>0.24728658569729367</v>
      </c>
      <c r="K12" s="61"/>
      <c r="L12" s="61"/>
    </row>
    <row r="13" spans="2:12" ht="18" customHeight="1" x14ac:dyDescent="0.25">
      <c r="B13" s="2" t="s">
        <v>16</v>
      </c>
      <c r="C13" s="8"/>
      <c r="D13" s="18">
        <f t="shared" ref="D13:J13" si="5">D5+D5*D12</f>
        <v>77.369244342807207</v>
      </c>
      <c r="E13" s="18">
        <f t="shared" si="5"/>
        <v>78.781348009310022</v>
      </c>
      <c r="F13" s="18">
        <f t="shared" si="5"/>
        <v>80.592744886765644</v>
      </c>
      <c r="G13" s="18">
        <f t="shared" si="5"/>
        <v>82.866501445295683</v>
      </c>
      <c r="H13" s="18">
        <f t="shared" si="5"/>
        <v>85.690816325286974</v>
      </c>
      <c r="I13" s="18">
        <f t="shared" si="5"/>
        <v>89.190533625204083</v>
      </c>
      <c r="J13" s="18">
        <f t="shared" si="5"/>
        <v>93.546493927297021</v>
      </c>
      <c r="K13" s="61"/>
      <c r="L13" s="61"/>
    </row>
    <row r="14" spans="2:12" x14ac:dyDescent="0.25">
      <c r="B14" s="2" t="s">
        <v>2</v>
      </c>
      <c r="C14" s="8"/>
      <c r="D14" s="19">
        <f t="shared" ref="D14:J14" si="6">(D3/3.6*D3/3.6)/(D8*TAN(RADIANS(D4)))</f>
        <v>129.35905468498197</v>
      </c>
      <c r="E14" s="19">
        <f t="shared" si="6"/>
        <v>104.68880885932096</v>
      </c>
      <c r="F14" s="19">
        <f t="shared" si="6"/>
        <v>88.486804847661119</v>
      </c>
      <c r="G14" s="19">
        <f t="shared" si="6"/>
        <v>77.136018183202111</v>
      </c>
      <c r="H14" s="19">
        <f t="shared" si="6"/>
        <v>68.830515332126936</v>
      </c>
      <c r="I14" s="19">
        <f t="shared" si="6"/>
        <v>62.569619753311841</v>
      </c>
      <c r="J14" s="19">
        <f t="shared" si="6"/>
        <v>57.755660028929803</v>
      </c>
      <c r="K14" s="61"/>
      <c r="L14" s="61"/>
    </row>
    <row r="15" spans="2:12" x14ac:dyDescent="0.25">
      <c r="B15" s="2" t="s">
        <v>9</v>
      </c>
      <c r="C15" s="8"/>
      <c r="D15" s="19">
        <f t="shared" ref="D15:J15" si="7">D14*2</f>
        <v>258.71810936996394</v>
      </c>
      <c r="E15" s="19">
        <f t="shared" si="7"/>
        <v>209.37761771864191</v>
      </c>
      <c r="F15" s="19">
        <f t="shared" si="7"/>
        <v>176.97360969532224</v>
      </c>
      <c r="G15" s="19">
        <f t="shared" si="7"/>
        <v>154.27203636640422</v>
      </c>
      <c r="H15" s="19">
        <f t="shared" si="7"/>
        <v>137.66103066425387</v>
      </c>
      <c r="I15" s="19">
        <f t="shared" si="7"/>
        <v>125.13923950662368</v>
      </c>
      <c r="J15" s="19">
        <f t="shared" si="7"/>
        <v>115.51132005785961</v>
      </c>
      <c r="K15" s="61"/>
      <c r="L15" s="61"/>
    </row>
    <row r="16" spans="2:12" x14ac:dyDescent="0.25">
      <c r="B16" s="2" t="s">
        <v>8</v>
      </c>
      <c r="C16" s="8"/>
      <c r="D16" s="19">
        <f t="shared" ref="D16:J16" si="8">2*PI()*D14</f>
        <v>812.78691174731932</v>
      </c>
      <c r="E16" s="19">
        <f t="shared" si="8"/>
        <v>657.77918565101754</v>
      </c>
      <c r="F16" s="19">
        <f t="shared" si="8"/>
        <v>555.97899209809168</v>
      </c>
      <c r="G16" s="19">
        <f t="shared" si="8"/>
        <v>484.65989610303291</v>
      </c>
      <c r="H16" s="19">
        <f t="shared" si="8"/>
        <v>432.47488262041918</v>
      </c>
      <c r="I16" s="19">
        <f t="shared" si="8"/>
        <v>393.13651550982257</v>
      </c>
      <c r="J16" s="19">
        <f t="shared" si="8"/>
        <v>362.88951450023103</v>
      </c>
      <c r="K16" s="61"/>
      <c r="L16" s="61"/>
    </row>
    <row r="17" spans="2:12" x14ac:dyDescent="0.25">
      <c r="B17" s="23" t="s">
        <v>17</v>
      </c>
      <c r="C17" s="24"/>
      <c r="D17" s="25">
        <f>1.65-D7</f>
        <v>0.94741115645548246</v>
      </c>
      <c r="E17" s="25">
        <f>2.7-E7</f>
        <v>1.9582348815396495</v>
      </c>
      <c r="F17" s="25">
        <f>3.42-F7</f>
        <v>2.6258838535662083</v>
      </c>
      <c r="G17" s="25">
        <f>3.79-G7</f>
        <v>2.9132685667254945</v>
      </c>
      <c r="H17" s="50">
        <f>4.03-H7</f>
        <v>3.0307046814118905</v>
      </c>
      <c r="I17" s="58">
        <f>4.19-I7</f>
        <v>3.0127450186448002</v>
      </c>
      <c r="J17" s="25">
        <f>4.31-J7</f>
        <v>2.893483573986364</v>
      </c>
      <c r="K17" s="61"/>
      <c r="L17" s="61"/>
    </row>
    <row r="18" spans="2:12" x14ac:dyDescent="0.25">
      <c r="B18" s="2" t="s">
        <v>3</v>
      </c>
      <c r="C18" s="8"/>
      <c r="D18" s="20">
        <f t="shared" ref="D18:J18" si="9">D16/D3*3.6</f>
        <v>37.819070189256344</v>
      </c>
      <c r="E18" s="20">
        <f t="shared" si="9"/>
        <v>30.057940466616834</v>
      </c>
      <c r="F18" s="20">
        <f t="shared" si="9"/>
        <v>24.835044077048256</v>
      </c>
      <c r="G18" s="20">
        <f t="shared" si="9"/>
        <v>21.055258705747729</v>
      </c>
      <c r="H18" s="51">
        <f t="shared" si="9"/>
        <v>18.168919893625429</v>
      </c>
      <c r="I18" s="59">
        <f t="shared" si="9"/>
        <v>15.868180156682214</v>
      </c>
      <c r="J18" s="20">
        <f t="shared" si="9"/>
        <v>13.965272212298503</v>
      </c>
      <c r="K18" s="61"/>
      <c r="L18" s="61"/>
    </row>
    <row r="19" spans="2:12" x14ac:dyDescent="0.25">
      <c r="B19" s="2" t="s">
        <v>33</v>
      </c>
      <c r="C19" s="8"/>
      <c r="D19" s="47">
        <f>D18*D17</f>
        <v>35.830209024074414</v>
      </c>
      <c r="E19" s="47">
        <f t="shared" ref="E19:J19" si="10">E18*E17</f>
        <v>58.860507488971251</v>
      </c>
      <c r="F19" s="47">
        <f t="shared" si="10"/>
        <v>65.213941244526112</v>
      </c>
      <c r="G19" s="47">
        <f t="shared" si="10"/>
        <v>61.339623351728179</v>
      </c>
      <c r="H19" s="47">
        <f t="shared" si="10"/>
        <v>55.064630577808217</v>
      </c>
      <c r="I19" s="47">
        <f t="shared" si="10"/>
        <v>47.806780722002607</v>
      </c>
      <c r="J19" s="47">
        <f t="shared" si="10"/>
        <v>40.408285752533928</v>
      </c>
      <c r="K19" s="61"/>
      <c r="L19" s="61"/>
    </row>
    <row r="20" spans="2:12" x14ac:dyDescent="0.25">
      <c r="B20" s="3" t="s">
        <v>4</v>
      </c>
      <c r="C20" s="9"/>
      <c r="D20" s="21">
        <f t="shared" ref="D20:J20" si="11">360/D18</f>
        <v>9.5190071622191539</v>
      </c>
      <c r="E20" s="21">
        <f t="shared" si="11"/>
        <v>11.976868488372508</v>
      </c>
      <c r="F20" s="21">
        <f t="shared" si="11"/>
        <v>14.495645704639612</v>
      </c>
      <c r="G20" s="21">
        <f t="shared" si="11"/>
        <v>17.097866382507384</v>
      </c>
      <c r="H20" s="21">
        <f t="shared" si="11"/>
        <v>19.814056207397673</v>
      </c>
      <c r="I20" s="21">
        <f t="shared" si="11"/>
        <v>22.686911570537042</v>
      </c>
      <c r="J20" s="21">
        <f t="shared" si="11"/>
        <v>25.778230064356809</v>
      </c>
    </row>
    <row r="21" spans="2:12" x14ac:dyDescent="0.25">
      <c r="C21" s="5" t="s">
        <v>12</v>
      </c>
    </row>
    <row r="23" spans="2:12" x14ac:dyDescent="0.25">
      <c r="B23" s="46" t="s">
        <v>47</v>
      </c>
    </row>
  </sheetData>
  <mergeCells count="1">
    <mergeCell ref="K3:L19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showGridLines="0" zoomScaleNormal="100" workbookViewId="0">
      <selection activeCell="B25" sqref="B25"/>
    </sheetView>
  </sheetViews>
  <sheetFormatPr defaultRowHeight="15" x14ac:dyDescent="0.25"/>
  <cols>
    <col min="1" max="1" width="5.7109375" customWidth="1"/>
    <col min="2" max="2" width="21.140625" customWidth="1"/>
    <col min="3" max="3" width="19.42578125" customWidth="1"/>
  </cols>
  <sheetData>
    <row r="1" spans="2:12" ht="26.25" x14ac:dyDescent="0.4">
      <c r="E1" s="52" t="s">
        <v>46</v>
      </c>
    </row>
    <row r="2" spans="2:12" ht="18" customHeight="1" x14ac:dyDescent="0.25">
      <c r="B2" s="4" t="s">
        <v>7</v>
      </c>
      <c r="C2" s="4"/>
      <c r="D2" s="6" t="s">
        <v>5</v>
      </c>
    </row>
    <row r="3" spans="2:12" x14ac:dyDescent="0.25">
      <c r="B3" s="1" t="s">
        <v>11</v>
      </c>
      <c r="C3" s="7"/>
      <c r="D3" s="12">
        <f>D13</f>
        <v>77.369244342807207</v>
      </c>
      <c r="E3" s="12">
        <f t="shared" ref="E3:J3" si="0">E13</f>
        <v>78.781348009310022</v>
      </c>
      <c r="F3" s="12">
        <f t="shared" si="0"/>
        <v>80.592744886765644</v>
      </c>
      <c r="G3" s="12">
        <f t="shared" si="0"/>
        <v>82.866501445295683</v>
      </c>
      <c r="H3" s="48">
        <f t="shared" si="0"/>
        <v>85.690816325286974</v>
      </c>
      <c r="I3" s="56">
        <f t="shared" si="0"/>
        <v>89.190533625204083</v>
      </c>
      <c r="J3" s="12">
        <f t="shared" si="0"/>
        <v>93.546493927297021</v>
      </c>
      <c r="K3" s="60" t="s">
        <v>23</v>
      </c>
      <c r="L3" s="61"/>
    </row>
    <row r="4" spans="2:12" x14ac:dyDescent="0.25">
      <c r="B4" s="2" t="s">
        <v>6</v>
      </c>
      <c r="C4" s="8"/>
      <c r="D4" s="13">
        <v>20</v>
      </c>
      <c r="E4" s="13">
        <v>25</v>
      </c>
      <c r="F4" s="13">
        <v>30</v>
      </c>
      <c r="G4" s="13">
        <v>35</v>
      </c>
      <c r="H4" s="49">
        <v>40</v>
      </c>
      <c r="I4" s="57">
        <v>45</v>
      </c>
      <c r="J4" s="42">
        <v>50</v>
      </c>
      <c r="K4" s="61"/>
      <c r="L4" s="61"/>
    </row>
    <row r="5" spans="2:12" x14ac:dyDescent="0.25">
      <c r="B5" s="2" t="s">
        <v>34</v>
      </c>
      <c r="C5" s="8"/>
      <c r="D5" s="14">
        <v>75</v>
      </c>
      <c r="E5" s="14">
        <f>D5</f>
        <v>75</v>
      </c>
      <c r="F5" s="14">
        <f t="shared" ref="F5:J5" si="1">E5</f>
        <v>75</v>
      </c>
      <c r="G5" s="14">
        <f t="shared" si="1"/>
        <v>75</v>
      </c>
      <c r="H5" s="14">
        <f t="shared" si="1"/>
        <v>75</v>
      </c>
      <c r="I5" s="14">
        <f t="shared" si="1"/>
        <v>75</v>
      </c>
      <c r="J5" s="14">
        <f t="shared" si="1"/>
        <v>75</v>
      </c>
      <c r="K5" s="61"/>
      <c r="L5" s="61"/>
    </row>
    <row r="6" spans="2:12" ht="12.75" customHeight="1" x14ac:dyDescent="0.25">
      <c r="B6" s="2" t="s">
        <v>35</v>
      </c>
      <c r="C6" s="8"/>
      <c r="D6" s="22">
        <f>0.71*(1+D12)</f>
        <v>0.73242884644524153</v>
      </c>
      <c r="E6" s="22">
        <f>0.7*(1+E12)</f>
        <v>0.73529258142022691</v>
      </c>
      <c r="F6" s="22">
        <f>0.7*(1+F12)</f>
        <v>0.75219895227647937</v>
      </c>
      <c r="G6" s="22">
        <f>0.7*(1+G12)</f>
        <v>0.77342068015609289</v>
      </c>
      <c r="H6" s="22">
        <f>0.7*(1+H12)</f>
        <v>0.79978095236934499</v>
      </c>
      <c r="I6" s="22">
        <f>0.72*(1+I12)</f>
        <v>0.85622912280195906</v>
      </c>
      <c r="J6" s="22">
        <f>0.76*(1+J12)</f>
        <v>0.94793780512994319</v>
      </c>
      <c r="K6" s="61"/>
      <c r="L6" s="61"/>
    </row>
    <row r="7" spans="2:12" ht="12.75" customHeight="1" x14ac:dyDescent="0.25">
      <c r="B7" s="2" t="s">
        <v>36</v>
      </c>
      <c r="C7" s="8"/>
      <c r="D7" s="22">
        <f>D6/COS(PI()*D4/180)</f>
        <v>0.77943449830719902</v>
      </c>
      <c r="E7" s="22">
        <f t="shared" ref="E7:J7" si="2">E6/COS(PI()*E4/180)</f>
        <v>0.81130559831600857</v>
      </c>
      <c r="F7" s="22">
        <f t="shared" si="2"/>
        <v>0.86856453516195964</v>
      </c>
      <c r="G7" s="22">
        <f t="shared" si="2"/>
        <v>0.94417231275715996</v>
      </c>
      <c r="H7" s="22">
        <f t="shared" si="2"/>
        <v>1.0440398850920549</v>
      </c>
      <c r="I7" s="22">
        <f t="shared" si="2"/>
        <v>1.2108908379653487</v>
      </c>
      <c r="J7" s="22">
        <f t="shared" si="2"/>
        <v>1.474729429822415</v>
      </c>
      <c r="K7" s="61"/>
      <c r="L7" s="61"/>
    </row>
    <row r="8" spans="2:12" x14ac:dyDescent="0.25">
      <c r="B8" s="3" t="s">
        <v>0</v>
      </c>
      <c r="C8" s="9"/>
      <c r="D8" s="15">
        <v>9.81</v>
      </c>
      <c r="E8" s="15">
        <v>9.81</v>
      </c>
      <c r="F8" s="15">
        <v>9.81</v>
      </c>
      <c r="G8" s="15">
        <v>9.81</v>
      </c>
      <c r="H8" s="15">
        <v>9.81</v>
      </c>
      <c r="I8" s="15">
        <v>9.81</v>
      </c>
      <c r="J8" s="15">
        <v>9.81</v>
      </c>
      <c r="K8" s="61"/>
      <c r="L8" s="61"/>
    </row>
    <row r="9" spans="2:12" x14ac:dyDescent="0.25">
      <c r="B9" s="11"/>
      <c r="C9" s="11"/>
      <c r="D9" s="10"/>
      <c r="E9" s="10"/>
      <c r="F9" s="10"/>
      <c r="G9" s="10"/>
      <c r="H9" s="10"/>
      <c r="I9" s="10"/>
      <c r="J9" s="10"/>
      <c r="K9" s="61"/>
      <c r="L9" s="61"/>
    </row>
    <row r="10" spans="2:12" x14ac:dyDescent="0.25">
      <c r="K10" s="61"/>
      <c r="L10" s="61"/>
    </row>
    <row r="11" spans="2:12" x14ac:dyDescent="0.25">
      <c r="B11" s="1" t="s">
        <v>1</v>
      </c>
      <c r="C11" s="7"/>
      <c r="D11" s="16">
        <f t="shared" ref="D11:J11" si="3">1/COS(RADIANS(D4))</f>
        <v>1.0641777724759121</v>
      </c>
      <c r="E11" s="16">
        <f t="shared" si="3"/>
        <v>1.1033779189624917</v>
      </c>
      <c r="F11" s="16">
        <f t="shared" si="3"/>
        <v>1.1547005383792515</v>
      </c>
      <c r="G11" s="16">
        <f t="shared" si="3"/>
        <v>1.2207745887614561</v>
      </c>
      <c r="H11" s="16">
        <f t="shared" si="3"/>
        <v>1.3054072893322786</v>
      </c>
      <c r="I11" s="16">
        <f t="shared" si="3"/>
        <v>1.4142135623730949</v>
      </c>
      <c r="J11" s="16">
        <f t="shared" si="3"/>
        <v>1.5557238268604123</v>
      </c>
      <c r="K11" s="61"/>
      <c r="L11" s="61"/>
    </row>
    <row r="12" spans="2:12" x14ac:dyDescent="0.25">
      <c r="B12" s="2" t="s">
        <v>10</v>
      </c>
      <c r="C12" s="8"/>
      <c r="D12" s="17">
        <f t="shared" ref="D12:J12" si="4">POWER(D11,0.5)-1</f>
        <v>3.1589924570762706E-2</v>
      </c>
      <c r="E12" s="17">
        <f t="shared" si="4"/>
        <v>5.0417973457467014E-2</v>
      </c>
      <c r="F12" s="17">
        <f t="shared" si="4"/>
        <v>7.4569931823541991E-2</v>
      </c>
      <c r="G12" s="17">
        <f t="shared" si="4"/>
        <v>0.10488668593727568</v>
      </c>
      <c r="H12" s="17">
        <f t="shared" si="4"/>
        <v>0.14254421767049297</v>
      </c>
      <c r="I12" s="17">
        <f t="shared" si="4"/>
        <v>0.18920711500272103</v>
      </c>
      <c r="J12" s="17">
        <f t="shared" si="4"/>
        <v>0.24728658569729367</v>
      </c>
      <c r="K12" s="61"/>
      <c r="L12" s="61"/>
    </row>
    <row r="13" spans="2:12" ht="18" customHeight="1" x14ac:dyDescent="0.25">
      <c r="B13" s="2" t="s">
        <v>16</v>
      </c>
      <c r="C13" s="8"/>
      <c r="D13" s="18">
        <f t="shared" ref="D13:J13" si="5">D5+D5*D12</f>
        <v>77.369244342807207</v>
      </c>
      <c r="E13" s="18">
        <f t="shared" si="5"/>
        <v>78.781348009310022</v>
      </c>
      <c r="F13" s="18">
        <f t="shared" si="5"/>
        <v>80.592744886765644</v>
      </c>
      <c r="G13" s="18">
        <f t="shared" si="5"/>
        <v>82.866501445295683</v>
      </c>
      <c r="H13" s="18">
        <f t="shared" si="5"/>
        <v>85.690816325286974</v>
      </c>
      <c r="I13" s="18">
        <f t="shared" si="5"/>
        <v>89.190533625204083</v>
      </c>
      <c r="J13" s="18">
        <f t="shared" si="5"/>
        <v>93.546493927297021</v>
      </c>
      <c r="K13" s="61"/>
      <c r="L13" s="61"/>
    </row>
    <row r="14" spans="2:12" x14ac:dyDescent="0.25">
      <c r="B14" s="2" t="s">
        <v>2</v>
      </c>
      <c r="C14" s="8"/>
      <c r="D14" s="19">
        <f t="shared" ref="D14:J14" si="6">(D3/3.6*D3/3.6)/(D8*TAN(RADIANS(D4)))</f>
        <v>129.35905468498197</v>
      </c>
      <c r="E14" s="19">
        <f t="shared" si="6"/>
        <v>104.68880885932096</v>
      </c>
      <c r="F14" s="19">
        <f t="shared" si="6"/>
        <v>88.486804847661119</v>
      </c>
      <c r="G14" s="19">
        <f t="shared" si="6"/>
        <v>77.136018183202111</v>
      </c>
      <c r="H14" s="19">
        <f t="shared" si="6"/>
        <v>68.830515332126936</v>
      </c>
      <c r="I14" s="19">
        <f t="shared" si="6"/>
        <v>62.569619753311841</v>
      </c>
      <c r="J14" s="19">
        <f t="shared" si="6"/>
        <v>57.755660028929803</v>
      </c>
      <c r="K14" s="61"/>
      <c r="L14" s="61"/>
    </row>
    <row r="15" spans="2:12" x14ac:dyDescent="0.25">
      <c r="B15" s="2" t="s">
        <v>9</v>
      </c>
      <c r="C15" s="8"/>
      <c r="D15" s="19">
        <f t="shared" ref="D15:J15" si="7">D14*2</f>
        <v>258.71810936996394</v>
      </c>
      <c r="E15" s="19">
        <f t="shared" si="7"/>
        <v>209.37761771864191</v>
      </c>
      <c r="F15" s="19">
        <f t="shared" si="7"/>
        <v>176.97360969532224</v>
      </c>
      <c r="G15" s="19">
        <f t="shared" si="7"/>
        <v>154.27203636640422</v>
      </c>
      <c r="H15" s="19">
        <f t="shared" si="7"/>
        <v>137.66103066425387</v>
      </c>
      <c r="I15" s="19">
        <f t="shared" si="7"/>
        <v>125.13923950662368</v>
      </c>
      <c r="J15" s="19">
        <f t="shared" si="7"/>
        <v>115.51132005785961</v>
      </c>
      <c r="K15" s="61"/>
      <c r="L15" s="61"/>
    </row>
    <row r="16" spans="2:12" x14ac:dyDescent="0.25">
      <c r="B16" s="2" t="s">
        <v>8</v>
      </c>
      <c r="C16" s="8"/>
      <c r="D16" s="19">
        <f t="shared" ref="D16:J16" si="8">2*PI()*D14</f>
        <v>812.78691174731932</v>
      </c>
      <c r="E16" s="19">
        <f t="shared" si="8"/>
        <v>657.77918565101754</v>
      </c>
      <c r="F16" s="19">
        <f t="shared" si="8"/>
        <v>555.97899209809168</v>
      </c>
      <c r="G16" s="19">
        <f t="shared" si="8"/>
        <v>484.65989610303291</v>
      </c>
      <c r="H16" s="19">
        <f t="shared" si="8"/>
        <v>432.47488262041918</v>
      </c>
      <c r="I16" s="19">
        <f t="shared" si="8"/>
        <v>393.13651550982257</v>
      </c>
      <c r="J16" s="19">
        <f t="shared" si="8"/>
        <v>362.88951450023103</v>
      </c>
      <c r="K16" s="61"/>
      <c r="L16" s="61"/>
    </row>
    <row r="17" spans="2:13" x14ac:dyDescent="0.25">
      <c r="B17" s="23" t="s">
        <v>17</v>
      </c>
      <c r="C17" s="24"/>
      <c r="D17" s="25">
        <f>1.65-D7</f>
        <v>0.87056550169280089</v>
      </c>
      <c r="E17" s="25">
        <f>2.7-E7</f>
        <v>1.8886944016839915</v>
      </c>
      <c r="F17" s="25">
        <f>3.42-F7</f>
        <v>2.5514354648380402</v>
      </c>
      <c r="G17" s="25">
        <f>3.79-G7</f>
        <v>2.8458276872428403</v>
      </c>
      <c r="H17" s="50">
        <f>4.03-H7</f>
        <v>2.9859601149079453</v>
      </c>
      <c r="I17" s="58">
        <f>4.19-I7</f>
        <v>2.9791091620346517</v>
      </c>
      <c r="J17" s="25">
        <f>4.31-J7</f>
        <v>2.8352705701775847</v>
      </c>
      <c r="K17" s="61"/>
      <c r="L17" s="61"/>
    </row>
    <row r="18" spans="2:13" x14ac:dyDescent="0.25">
      <c r="B18" s="2" t="s">
        <v>3</v>
      </c>
      <c r="C18" s="8"/>
      <c r="D18" s="20">
        <f t="shared" ref="D18:J18" si="9">D16/D3*3.6</f>
        <v>37.819070189256344</v>
      </c>
      <c r="E18" s="20">
        <f t="shared" si="9"/>
        <v>30.057940466616834</v>
      </c>
      <c r="F18" s="20">
        <f t="shared" si="9"/>
        <v>24.835044077048256</v>
      </c>
      <c r="G18" s="20">
        <f t="shared" si="9"/>
        <v>21.055258705747729</v>
      </c>
      <c r="H18" s="51">
        <f t="shared" si="9"/>
        <v>18.168919893625429</v>
      </c>
      <c r="I18" s="59">
        <f t="shared" si="9"/>
        <v>15.868180156682214</v>
      </c>
      <c r="J18" s="20">
        <f t="shared" si="9"/>
        <v>13.965272212298503</v>
      </c>
      <c r="K18" s="61"/>
      <c r="L18" s="61"/>
    </row>
    <row r="19" spans="2:13" x14ac:dyDescent="0.25">
      <c r="B19" s="2" t="s">
        <v>33</v>
      </c>
      <c r="C19" s="8"/>
      <c r="D19" s="47">
        <f>D18*D17</f>
        <v>32.923977812865196</v>
      </c>
      <c r="E19" s="47">
        <f t="shared" ref="E19:J19" si="10">E18*E17</f>
        <v>56.770263885449921</v>
      </c>
      <c r="F19" s="47">
        <f t="shared" si="10"/>
        <v>63.365012228996832</v>
      </c>
      <c r="G19" s="47">
        <f t="shared" si="10"/>
        <v>59.919638186877741</v>
      </c>
      <c r="H19" s="47">
        <f t="shared" si="10"/>
        <v>54.251670133323039</v>
      </c>
      <c r="I19" s="47">
        <f t="shared" si="10"/>
        <v>47.273040889588437</v>
      </c>
      <c r="J19" s="47">
        <f t="shared" si="10"/>
        <v>39.595325308048757</v>
      </c>
      <c r="K19" s="61"/>
      <c r="L19" s="61"/>
    </row>
    <row r="20" spans="2:13" x14ac:dyDescent="0.25">
      <c r="B20" s="3" t="s">
        <v>4</v>
      </c>
      <c r="C20" s="9"/>
      <c r="D20" s="21">
        <f t="shared" ref="D20:J20" si="11">360/D18</f>
        <v>9.5190071622191539</v>
      </c>
      <c r="E20" s="21">
        <f t="shared" si="11"/>
        <v>11.976868488372508</v>
      </c>
      <c r="F20" s="21">
        <f t="shared" si="11"/>
        <v>14.495645704639612</v>
      </c>
      <c r="G20" s="21">
        <f t="shared" si="11"/>
        <v>17.097866382507384</v>
      </c>
      <c r="H20" s="21">
        <f t="shared" si="11"/>
        <v>19.814056207397673</v>
      </c>
      <c r="I20" s="21">
        <f t="shared" si="11"/>
        <v>22.686911570537042</v>
      </c>
      <c r="J20" s="21">
        <f t="shared" si="11"/>
        <v>25.778230064356809</v>
      </c>
    </row>
    <row r="21" spans="2:13" x14ac:dyDescent="0.25">
      <c r="C21" s="5" t="s">
        <v>12</v>
      </c>
    </row>
    <row r="23" spans="2:13" x14ac:dyDescent="0.25">
      <c r="B23" s="46" t="s">
        <v>48</v>
      </c>
    </row>
    <row r="24" spans="2:13" ht="15.75" x14ac:dyDescent="0.25">
      <c r="B24" s="55" t="s">
        <v>49</v>
      </c>
      <c r="C24" s="54"/>
      <c r="D24" s="54"/>
      <c r="E24" s="54"/>
      <c r="F24" s="54"/>
      <c r="G24" s="54"/>
      <c r="H24" s="54"/>
      <c r="I24" s="54"/>
      <c r="J24" s="54"/>
      <c r="K24" s="54"/>
      <c r="L24" s="53"/>
      <c r="M24" s="53"/>
    </row>
  </sheetData>
  <mergeCells count="1">
    <mergeCell ref="K3:L19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zoomScaleNormal="100" workbookViewId="0">
      <selection activeCell="J7" sqref="J7"/>
    </sheetView>
  </sheetViews>
  <sheetFormatPr defaultRowHeight="15" x14ac:dyDescent="0.25"/>
  <cols>
    <col min="1" max="1" width="5.7109375" customWidth="1"/>
    <col min="2" max="2" width="21.140625" customWidth="1"/>
    <col min="3" max="3" width="12.85546875" customWidth="1"/>
  </cols>
  <sheetData>
    <row r="1" spans="2:12" ht="26.25" x14ac:dyDescent="0.4">
      <c r="E1" s="52" t="s">
        <v>40</v>
      </c>
    </row>
    <row r="2" spans="2:12" ht="18" customHeight="1" x14ac:dyDescent="0.25">
      <c r="B2" s="4" t="s">
        <v>7</v>
      </c>
      <c r="C2" s="4"/>
      <c r="D2" s="6" t="s">
        <v>5</v>
      </c>
    </row>
    <row r="3" spans="2:12" x14ac:dyDescent="0.25">
      <c r="B3" s="1" t="s">
        <v>11</v>
      </c>
      <c r="C3" s="7"/>
      <c r="D3" s="12">
        <f>D13</f>
        <v>72.211294719953386</v>
      </c>
      <c r="E3" s="12">
        <f t="shared" ref="E3:J3" si="0">E13</f>
        <v>73.529258142022684</v>
      </c>
      <c r="F3" s="12">
        <f t="shared" si="0"/>
        <v>75.219895227647939</v>
      </c>
      <c r="G3" s="12">
        <f t="shared" si="0"/>
        <v>77.3420680156093</v>
      </c>
      <c r="H3" s="12">
        <f t="shared" si="0"/>
        <v>79.978095236934507</v>
      </c>
      <c r="I3" s="48">
        <f t="shared" si="0"/>
        <v>83.244498050190472</v>
      </c>
      <c r="J3" s="12">
        <f t="shared" si="0"/>
        <v>87.310060998810556</v>
      </c>
      <c r="K3" s="60" t="s">
        <v>23</v>
      </c>
      <c r="L3" s="61"/>
    </row>
    <row r="4" spans="2:12" x14ac:dyDescent="0.25">
      <c r="B4" s="2" t="s">
        <v>6</v>
      </c>
      <c r="C4" s="8"/>
      <c r="D4" s="13">
        <v>20</v>
      </c>
      <c r="E4" s="13">
        <v>25</v>
      </c>
      <c r="F4" s="13">
        <v>30</v>
      </c>
      <c r="G4" s="13">
        <v>35</v>
      </c>
      <c r="H4" s="42">
        <v>40</v>
      </c>
      <c r="I4" s="49">
        <v>45</v>
      </c>
      <c r="J4" s="42">
        <v>50</v>
      </c>
      <c r="K4" s="61"/>
      <c r="L4" s="61"/>
    </row>
    <row r="5" spans="2:12" x14ac:dyDescent="0.25">
      <c r="B5" s="2" t="s">
        <v>13</v>
      </c>
      <c r="C5" s="8"/>
      <c r="D5" s="14">
        <v>70</v>
      </c>
      <c r="E5" s="14">
        <f>D5</f>
        <v>70</v>
      </c>
      <c r="F5" s="14">
        <f t="shared" ref="F5:J5" si="1">E5</f>
        <v>70</v>
      </c>
      <c r="G5" s="14">
        <f t="shared" si="1"/>
        <v>70</v>
      </c>
      <c r="H5" s="14">
        <f t="shared" si="1"/>
        <v>70</v>
      </c>
      <c r="I5" s="14">
        <f t="shared" si="1"/>
        <v>70</v>
      </c>
      <c r="J5" s="14">
        <f t="shared" si="1"/>
        <v>70</v>
      </c>
      <c r="K5" s="61"/>
      <c r="L5" s="61"/>
    </row>
    <row r="6" spans="2:12" ht="12.75" customHeight="1" x14ac:dyDescent="0.25">
      <c r="B6" s="2" t="s">
        <v>14</v>
      </c>
      <c r="C6" s="8"/>
      <c r="D6" s="22">
        <f>0.55*(1+D12)</f>
        <v>0.56737445851391954</v>
      </c>
      <c r="E6" s="22">
        <f t="shared" ref="E6:J6" si="2">0.55*(1+E12)</f>
        <v>0.57772988540160686</v>
      </c>
      <c r="F6" s="22">
        <f t="shared" si="2"/>
        <v>0.59101346250294817</v>
      </c>
      <c r="G6" s="22">
        <f t="shared" si="2"/>
        <v>0.60768767726550166</v>
      </c>
      <c r="H6" s="22">
        <f t="shared" si="2"/>
        <v>0.62839931971877117</v>
      </c>
      <c r="I6" s="22">
        <f t="shared" si="2"/>
        <v>0.6540639132514966</v>
      </c>
      <c r="J6" s="22">
        <f t="shared" si="2"/>
        <v>0.68600762213351152</v>
      </c>
      <c r="K6" s="61"/>
      <c r="L6" s="61"/>
    </row>
    <row r="7" spans="2:12" ht="12.75" customHeight="1" x14ac:dyDescent="0.25">
      <c r="B7" s="2" t="s">
        <v>15</v>
      </c>
      <c r="C7" s="8"/>
      <c r="D7" s="22">
        <f>D6/COS(PI()*D4/180)</f>
        <v>0.60378728742106968</v>
      </c>
      <c r="E7" s="22">
        <f t="shared" ref="E7:J7" si="3">E6/COS(PI()*E4/180)</f>
        <v>0.63745439867686382</v>
      </c>
      <c r="F7" s="22">
        <f t="shared" si="3"/>
        <v>0.68244356334153977</v>
      </c>
      <c r="G7" s="22">
        <f t="shared" si="3"/>
        <v>0.74184967430919724</v>
      </c>
      <c r="H7" s="22">
        <f t="shared" si="3"/>
        <v>0.82031705257232901</v>
      </c>
      <c r="I7" s="22">
        <f t="shared" si="3"/>
        <v>0.92498605677908596</v>
      </c>
      <c r="J7" s="22">
        <f t="shared" si="3"/>
        <v>1.0672384031609581</v>
      </c>
      <c r="K7" s="61"/>
      <c r="L7" s="61"/>
    </row>
    <row r="8" spans="2:12" x14ac:dyDescent="0.25">
      <c r="B8" s="3" t="s">
        <v>0</v>
      </c>
      <c r="C8" s="9"/>
      <c r="D8" s="15">
        <v>9.81</v>
      </c>
      <c r="E8" s="15">
        <v>9.81</v>
      </c>
      <c r="F8" s="15">
        <v>9.81</v>
      </c>
      <c r="G8" s="15">
        <v>9.81</v>
      </c>
      <c r="H8" s="15">
        <v>9.81</v>
      </c>
      <c r="I8" s="15">
        <v>9.81</v>
      </c>
      <c r="J8" s="15">
        <v>9.81</v>
      </c>
      <c r="K8" s="61"/>
      <c r="L8" s="61"/>
    </row>
    <row r="9" spans="2:12" x14ac:dyDescent="0.25">
      <c r="B9" s="11"/>
      <c r="C9" s="11"/>
      <c r="D9" s="10"/>
      <c r="E9" s="10"/>
      <c r="F9" s="10"/>
      <c r="G9" s="10"/>
      <c r="H9" s="10"/>
      <c r="I9" s="10"/>
      <c r="J9" s="10"/>
      <c r="K9" s="61"/>
      <c r="L9" s="61"/>
    </row>
    <row r="10" spans="2:12" x14ac:dyDescent="0.25">
      <c r="K10" s="61"/>
      <c r="L10" s="61"/>
    </row>
    <row r="11" spans="2:12" x14ac:dyDescent="0.25">
      <c r="B11" s="1" t="s">
        <v>1</v>
      </c>
      <c r="C11" s="7"/>
      <c r="D11" s="16">
        <f t="shared" ref="D11:J11" si="4">1/COS(RADIANS(D4))</f>
        <v>1.0641777724759121</v>
      </c>
      <c r="E11" s="16">
        <f t="shared" si="4"/>
        <v>1.1033779189624917</v>
      </c>
      <c r="F11" s="16">
        <f t="shared" si="4"/>
        <v>1.1547005383792515</v>
      </c>
      <c r="G11" s="16">
        <f t="shared" si="4"/>
        <v>1.2207745887614561</v>
      </c>
      <c r="H11" s="16">
        <f t="shared" si="4"/>
        <v>1.3054072893322786</v>
      </c>
      <c r="I11" s="16">
        <f t="shared" si="4"/>
        <v>1.4142135623730949</v>
      </c>
      <c r="J11" s="16">
        <f t="shared" si="4"/>
        <v>1.5557238268604123</v>
      </c>
      <c r="K11" s="61"/>
      <c r="L11" s="61"/>
    </row>
    <row r="12" spans="2:12" x14ac:dyDescent="0.25">
      <c r="B12" s="2" t="s">
        <v>10</v>
      </c>
      <c r="C12" s="8"/>
      <c r="D12" s="17">
        <f t="shared" ref="D12:J12" si="5">POWER(D11,0.5)-1</f>
        <v>3.1589924570762706E-2</v>
      </c>
      <c r="E12" s="17">
        <f t="shared" si="5"/>
        <v>5.0417973457467014E-2</v>
      </c>
      <c r="F12" s="17">
        <f t="shared" si="5"/>
        <v>7.4569931823541991E-2</v>
      </c>
      <c r="G12" s="17">
        <f t="shared" si="5"/>
        <v>0.10488668593727568</v>
      </c>
      <c r="H12" s="17">
        <f t="shared" si="5"/>
        <v>0.14254421767049297</v>
      </c>
      <c r="I12" s="17">
        <f t="shared" si="5"/>
        <v>0.18920711500272103</v>
      </c>
      <c r="J12" s="17">
        <f t="shared" si="5"/>
        <v>0.24728658569729367</v>
      </c>
      <c r="K12" s="61"/>
      <c r="L12" s="61"/>
    </row>
    <row r="13" spans="2:12" ht="18" customHeight="1" x14ac:dyDescent="0.25">
      <c r="B13" s="2" t="s">
        <v>16</v>
      </c>
      <c r="C13" s="8"/>
      <c r="D13" s="18">
        <f t="shared" ref="D13:J13" si="6">D5+D5*D12</f>
        <v>72.211294719953386</v>
      </c>
      <c r="E13" s="18">
        <f t="shared" si="6"/>
        <v>73.529258142022684</v>
      </c>
      <c r="F13" s="18">
        <f t="shared" si="6"/>
        <v>75.219895227647939</v>
      </c>
      <c r="G13" s="18">
        <f t="shared" si="6"/>
        <v>77.3420680156093</v>
      </c>
      <c r="H13" s="18">
        <f t="shared" si="6"/>
        <v>79.978095236934507</v>
      </c>
      <c r="I13" s="18">
        <f t="shared" si="6"/>
        <v>83.244498050190472</v>
      </c>
      <c r="J13" s="18">
        <f t="shared" si="6"/>
        <v>87.310060998810556</v>
      </c>
      <c r="K13" s="61"/>
      <c r="L13" s="61"/>
    </row>
    <row r="14" spans="2:12" x14ac:dyDescent="0.25">
      <c r="B14" s="2" t="s">
        <v>2</v>
      </c>
      <c r="C14" s="8"/>
      <c r="D14" s="19">
        <f t="shared" ref="D14:J14" si="7">(D3/3.6*D3/3.6)/(D8*TAN(RADIANS(D4)))</f>
        <v>112.6861098589176</v>
      </c>
      <c r="E14" s="19">
        <f t="shared" si="7"/>
        <v>91.195584606341811</v>
      </c>
      <c r="F14" s="19">
        <f t="shared" si="7"/>
        <v>77.081838889518139</v>
      </c>
      <c r="G14" s="19">
        <f t="shared" si="7"/>
        <v>67.194042506256068</v>
      </c>
      <c r="H14" s="19">
        <f t="shared" si="7"/>
        <v>59.959026689319465</v>
      </c>
      <c r="I14" s="19">
        <f t="shared" si="7"/>
        <v>54.505090985107216</v>
      </c>
      <c r="J14" s="19">
        <f t="shared" si="7"/>
        <v>50.311597180756635</v>
      </c>
      <c r="K14" s="61"/>
      <c r="L14" s="61"/>
    </row>
    <row r="15" spans="2:12" x14ac:dyDescent="0.25">
      <c r="B15" s="2" t="s">
        <v>9</v>
      </c>
      <c r="C15" s="8"/>
      <c r="D15" s="19">
        <f t="shared" ref="D15:J15" si="8">D14*2</f>
        <v>225.37221971783521</v>
      </c>
      <c r="E15" s="19">
        <f t="shared" si="8"/>
        <v>182.39116921268362</v>
      </c>
      <c r="F15" s="19">
        <f t="shared" si="8"/>
        <v>154.16367777903628</v>
      </c>
      <c r="G15" s="19">
        <f t="shared" si="8"/>
        <v>134.38808501251214</v>
      </c>
      <c r="H15" s="19">
        <f t="shared" si="8"/>
        <v>119.91805337863893</v>
      </c>
      <c r="I15" s="19">
        <f t="shared" si="8"/>
        <v>109.01018197021443</v>
      </c>
      <c r="J15" s="19">
        <f t="shared" si="8"/>
        <v>100.62319436151327</v>
      </c>
      <c r="K15" s="61"/>
      <c r="L15" s="61"/>
    </row>
    <row r="16" spans="2:12" x14ac:dyDescent="0.25">
      <c r="B16" s="2" t="s">
        <v>8</v>
      </c>
      <c r="C16" s="8"/>
      <c r="D16" s="19">
        <f t="shared" ref="D16:J16" si="9">2*PI()*D14</f>
        <v>708.02770978877584</v>
      </c>
      <c r="E16" s="19">
        <f t="shared" si="9"/>
        <v>572.99875727821973</v>
      </c>
      <c r="F16" s="19">
        <f t="shared" si="9"/>
        <v>484.31947756100442</v>
      </c>
      <c r="G16" s="19">
        <f t="shared" si="9"/>
        <v>422.19262060530872</v>
      </c>
      <c r="H16" s="19">
        <f t="shared" si="9"/>
        <v>376.73367552712074</v>
      </c>
      <c r="I16" s="19">
        <f t="shared" si="9"/>
        <v>342.46558684411218</v>
      </c>
      <c r="J16" s="19">
        <f t="shared" si="9"/>
        <v>316.11708818686799</v>
      </c>
      <c r="K16" s="61"/>
      <c r="L16" s="61"/>
    </row>
    <row r="17" spans="2:12" x14ac:dyDescent="0.25">
      <c r="B17" s="23" t="s">
        <v>17</v>
      </c>
      <c r="C17" s="24"/>
      <c r="D17" s="25">
        <f>2.32-D7</f>
        <v>1.7162127125789302</v>
      </c>
      <c r="E17" s="25">
        <f>3.31-E7</f>
        <v>2.6725456013231361</v>
      </c>
      <c r="F17" s="25">
        <f>3.79-F7</f>
        <v>3.1075564366584603</v>
      </c>
      <c r="G17" s="25">
        <f>4.08-G7</f>
        <v>3.3381503256908029</v>
      </c>
      <c r="H17" s="25">
        <f>4.27-H7</f>
        <v>3.4496829474276707</v>
      </c>
      <c r="I17" s="50">
        <f>4.38-I7</f>
        <v>3.4550139432209139</v>
      </c>
      <c r="J17" s="25">
        <f>4.49-J7</f>
        <v>3.4227615968390421</v>
      </c>
      <c r="K17" s="61"/>
      <c r="L17" s="61"/>
    </row>
    <row r="18" spans="2:12" x14ac:dyDescent="0.25">
      <c r="B18" s="2" t="s">
        <v>3</v>
      </c>
      <c r="C18" s="8"/>
      <c r="D18" s="20">
        <f t="shared" ref="D18:J18" si="10">D16/D3*3.6</f>
        <v>35.297798843305912</v>
      </c>
      <c r="E18" s="20">
        <f t="shared" si="10"/>
        <v>28.054077768842379</v>
      </c>
      <c r="F18" s="20">
        <f t="shared" si="10"/>
        <v>23.179374471911707</v>
      </c>
      <c r="G18" s="20">
        <f t="shared" si="10"/>
        <v>19.651574792031216</v>
      </c>
      <c r="H18" s="20">
        <f t="shared" si="10"/>
        <v>16.957658567383735</v>
      </c>
      <c r="I18" s="51">
        <f t="shared" si="10"/>
        <v>14.81030147957007</v>
      </c>
      <c r="J18" s="20">
        <f t="shared" si="10"/>
        <v>13.034254064811938</v>
      </c>
      <c r="K18" s="61"/>
      <c r="L18" s="61"/>
    </row>
    <row r="19" spans="2:12" x14ac:dyDescent="0.25">
      <c r="B19" s="3" t="s">
        <v>4</v>
      </c>
      <c r="C19" s="9"/>
      <c r="D19" s="21">
        <f t="shared" ref="D19:J19" si="11">360/D18</f>
        <v>10.19893624523481</v>
      </c>
      <c r="E19" s="21">
        <f t="shared" si="11"/>
        <v>12.832359094684829</v>
      </c>
      <c r="F19" s="21">
        <f t="shared" si="11"/>
        <v>15.531048969256727</v>
      </c>
      <c r="G19" s="21">
        <f t="shared" si="11"/>
        <v>18.319142552686479</v>
      </c>
      <c r="H19" s="21">
        <f t="shared" si="11"/>
        <v>21.229345936497506</v>
      </c>
      <c r="I19" s="21">
        <f t="shared" si="11"/>
        <v>24.307405254146826</v>
      </c>
      <c r="J19" s="21">
        <f t="shared" si="11"/>
        <v>27.619532211810863</v>
      </c>
      <c r="K19" s="61"/>
      <c r="L19" s="61"/>
    </row>
    <row r="20" spans="2:12" x14ac:dyDescent="0.25">
      <c r="C20" s="5" t="s">
        <v>12</v>
      </c>
    </row>
    <row r="22" spans="2:12" x14ac:dyDescent="0.25">
      <c r="B22" s="46" t="s">
        <v>39</v>
      </c>
    </row>
  </sheetData>
  <mergeCells count="1">
    <mergeCell ref="K3:L19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tabSelected="1" zoomScaleNormal="100" workbookViewId="0">
      <selection activeCell="M25" sqref="M25"/>
    </sheetView>
  </sheetViews>
  <sheetFormatPr defaultRowHeight="15" x14ac:dyDescent="0.25"/>
  <cols>
    <col min="1" max="1" width="5.7109375" customWidth="1"/>
    <col min="2" max="2" width="21.140625" customWidth="1"/>
    <col min="3" max="3" width="18.7109375" customWidth="1"/>
  </cols>
  <sheetData>
    <row r="1" spans="2:12" ht="26.25" x14ac:dyDescent="0.4">
      <c r="E1" s="52" t="s">
        <v>41</v>
      </c>
    </row>
    <row r="2" spans="2:12" ht="18" customHeight="1" x14ac:dyDescent="0.25">
      <c r="B2" s="4" t="s">
        <v>7</v>
      </c>
      <c r="C2" s="4"/>
      <c r="D2" s="6" t="s">
        <v>5</v>
      </c>
    </row>
    <row r="3" spans="2:12" x14ac:dyDescent="0.25">
      <c r="B3" s="1" t="s">
        <v>11</v>
      </c>
      <c r="C3" s="7"/>
      <c r="D3" s="12">
        <f>D13</f>
        <v>87.685143588514833</v>
      </c>
      <c r="E3" s="12">
        <f t="shared" ref="E3:J3" si="0">E13</f>
        <v>89.2855277438847</v>
      </c>
      <c r="F3" s="12">
        <f t="shared" si="0"/>
        <v>91.338444205001068</v>
      </c>
      <c r="G3" s="12">
        <f t="shared" si="0"/>
        <v>93.915368304668434</v>
      </c>
      <c r="H3" s="12">
        <f t="shared" si="0"/>
        <v>97.116258501991908</v>
      </c>
      <c r="I3" s="12">
        <f t="shared" si="0"/>
        <v>101.08260477523129</v>
      </c>
      <c r="J3" s="48">
        <f t="shared" si="0"/>
        <v>106.01935978426997</v>
      </c>
      <c r="K3" s="60" t="s">
        <v>23</v>
      </c>
      <c r="L3" s="61"/>
    </row>
    <row r="4" spans="2:12" x14ac:dyDescent="0.25">
      <c r="B4" s="2" t="s">
        <v>6</v>
      </c>
      <c r="C4" s="8"/>
      <c r="D4" s="13">
        <v>20</v>
      </c>
      <c r="E4" s="13">
        <v>25</v>
      </c>
      <c r="F4" s="13">
        <v>30</v>
      </c>
      <c r="G4" s="13">
        <v>35</v>
      </c>
      <c r="H4" s="42">
        <v>40</v>
      </c>
      <c r="I4" s="42">
        <v>45</v>
      </c>
      <c r="J4" s="49">
        <v>50</v>
      </c>
      <c r="K4" s="61"/>
      <c r="L4" s="61"/>
    </row>
    <row r="5" spans="2:12" x14ac:dyDescent="0.25">
      <c r="B5" s="2" t="s">
        <v>37</v>
      </c>
      <c r="C5" s="8"/>
      <c r="D5" s="14">
        <v>85</v>
      </c>
      <c r="E5" s="14">
        <f>D5</f>
        <v>85</v>
      </c>
      <c r="F5" s="14">
        <f t="shared" ref="F5:J5" si="1">E5</f>
        <v>85</v>
      </c>
      <c r="G5" s="14">
        <f t="shared" si="1"/>
        <v>85</v>
      </c>
      <c r="H5" s="14">
        <f t="shared" si="1"/>
        <v>85</v>
      </c>
      <c r="I5" s="14">
        <f t="shared" si="1"/>
        <v>85</v>
      </c>
      <c r="J5" s="14">
        <f t="shared" si="1"/>
        <v>85</v>
      </c>
      <c r="K5" s="61"/>
      <c r="L5" s="61"/>
    </row>
    <row r="6" spans="2:12" ht="12.75" customHeight="1" x14ac:dyDescent="0.25">
      <c r="B6" s="2" t="s">
        <v>35</v>
      </c>
      <c r="C6" s="8"/>
      <c r="D6" s="22">
        <f>0.6*(1+D12)</f>
        <v>0.61895395474245762</v>
      </c>
      <c r="E6" s="22">
        <f t="shared" ref="E6:J6" si="2">0.6*(1+E12)</f>
        <v>0.63025078407448021</v>
      </c>
      <c r="F6" s="22">
        <f t="shared" si="2"/>
        <v>0.64474195909412513</v>
      </c>
      <c r="G6" s="22">
        <f t="shared" si="2"/>
        <v>0.66293201156236536</v>
      </c>
      <c r="H6" s="22">
        <f t="shared" si="2"/>
        <v>0.68552653060229574</v>
      </c>
      <c r="I6" s="22">
        <f t="shared" si="2"/>
        <v>0.71352426900163257</v>
      </c>
      <c r="J6" s="22">
        <f t="shared" si="2"/>
        <v>0.7483719514183762</v>
      </c>
      <c r="K6" s="61"/>
      <c r="L6" s="61"/>
    </row>
    <row r="7" spans="2:12" ht="12.75" customHeight="1" x14ac:dyDescent="0.25">
      <c r="B7" s="2" t="s">
        <v>36</v>
      </c>
      <c r="C7" s="8"/>
      <c r="D7" s="22">
        <f>D6/COS(PI()*D4/180)</f>
        <v>0.65867704082298506</v>
      </c>
      <c r="E7" s="22">
        <f t="shared" ref="E7:J7" si="3">E6/COS(PI()*E4/180)</f>
        <v>0.69540479855657877</v>
      </c>
      <c r="F7" s="22">
        <f t="shared" si="3"/>
        <v>0.74448388728167958</v>
      </c>
      <c r="G7" s="22">
        <f t="shared" si="3"/>
        <v>0.80929055379185144</v>
      </c>
      <c r="H7" s="22">
        <f t="shared" si="3"/>
        <v>0.8948913300789042</v>
      </c>
      <c r="I7" s="22">
        <f t="shared" si="3"/>
        <v>1.0090756983044573</v>
      </c>
      <c r="J7" s="22">
        <f t="shared" si="3"/>
        <v>1.1642600761755908</v>
      </c>
      <c r="K7" s="61"/>
      <c r="L7" s="61"/>
    </row>
    <row r="8" spans="2:12" x14ac:dyDescent="0.25">
      <c r="B8" s="3" t="s">
        <v>0</v>
      </c>
      <c r="C8" s="9"/>
      <c r="D8" s="15">
        <v>9.81</v>
      </c>
      <c r="E8" s="15">
        <v>9.81</v>
      </c>
      <c r="F8" s="15">
        <v>9.81</v>
      </c>
      <c r="G8" s="15">
        <v>9.81</v>
      </c>
      <c r="H8" s="15">
        <v>9.81</v>
      </c>
      <c r="I8" s="15">
        <v>9.81</v>
      </c>
      <c r="J8" s="15">
        <v>9.81</v>
      </c>
      <c r="K8" s="61"/>
      <c r="L8" s="61"/>
    </row>
    <row r="9" spans="2:12" x14ac:dyDescent="0.25">
      <c r="B9" s="11"/>
      <c r="C9" s="11"/>
      <c r="D9" s="10"/>
      <c r="E9" s="10"/>
      <c r="F9" s="10"/>
      <c r="G9" s="10"/>
      <c r="H9" s="10"/>
      <c r="I9" s="10"/>
      <c r="J9" s="10"/>
      <c r="K9" s="61"/>
      <c r="L9" s="61"/>
    </row>
    <row r="10" spans="2:12" x14ac:dyDescent="0.25">
      <c r="K10" s="61"/>
      <c r="L10" s="61"/>
    </row>
    <row r="11" spans="2:12" x14ac:dyDescent="0.25">
      <c r="B11" s="1" t="s">
        <v>1</v>
      </c>
      <c r="C11" s="7"/>
      <c r="D11" s="16">
        <f t="shared" ref="D11:J11" si="4">1/COS(RADIANS(D4))</f>
        <v>1.0641777724759121</v>
      </c>
      <c r="E11" s="16">
        <f t="shared" si="4"/>
        <v>1.1033779189624917</v>
      </c>
      <c r="F11" s="16">
        <f t="shared" si="4"/>
        <v>1.1547005383792515</v>
      </c>
      <c r="G11" s="16">
        <f t="shared" si="4"/>
        <v>1.2207745887614561</v>
      </c>
      <c r="H11" s="16">
        <f t="shared" si="4"/>
        <v>1.3054072893322786</v>
      </c>
      <c r="I11" s="16">
        <f t="shared" si="4"/>
        <v>1.4142135623730949</v>
      </c>
      <c r="J11" s="16">
        <f t="shared" si="4"/>
        <v>1.5557238268604123</v>
      </c>
      <c r="K11" s="61"/>
      <c r="L11" s="61"/>
    </row>
    <row r="12" spans="2:12" x14ac:dyDescent="0.25">
      <c r="B12" s="2" t="s">
        <v>10</v>
      </c>
      <c r="C12" s="8"/>
      <c r="D12" s="17">
        <f t="shared" ref="D12:J12" si="5">POWER(D11,0.5)-1</f>
        <v>3.1589924570762706E-2</v>
      </c>
      <c r="E12" s="17">
        <f t="shared" si="5"/>
        <v>5.0417973457467014E-2</v>
      </c>
      <c r="F12" s="17">
        <f t="shared" si="5"/>
        <v>7.4569931823541991E-2</v>
      </c>
      <c r="G12" s="17">
        <f t="shared" si="5"/>
        <v>0.10488668593727568</v>
      </c>
      <c r="H12" s="17">
        <f t="shared" si="5"/>
        <v>0.14254421767049297</v>
      </c>
      <c r="I12" s="17">
        <f t="shared" si="5"/>
        <v>0.18920711500272103</v>
      </c>
      <c r="J12" s="17">
        <f t="shared" si="5"/>
        <v>0.24728658569729367</v>
      </c>
      <c r="K12" s="61"/>
      <c r="L12" s="61"/>
    </row>
    <row r="13" spans="2:12" ht="18" customHeight="1" x14ac:dyDescent="0.25">
      <c r="B13" s="2" t="s">
        <v>16</v>
      </c>
      <c r="C13" s="8"/>
      <c r="D13" s="18">
        <f t="shared" ref="D13:J13" si="6">D5+D5*D12</f>
        <v>87.685143588514833</v>
      </c>
      <c r="E13" s="18">
        <f t="shared" si="6"/>
        <v>89.2855277438847</v>
      </c>
      <c r="F13" s="18">
        <f t="shared" si="6"/>
        <v>91.338444205001068</v>
      </c>
      <c r="G13" s="18">
        <f t="shared" si="6"/>
        <v>93.915368304668434</v>
      </c>
      <c r="H13" s="18">
        <f t="shared" si="6"/>
        <v>97.116258501991908</v>
      </c>
      <c r="I13" s="18">
        <f t="shared" si="6"/>
        <v>101.08260477523129</v>
      </c>
      <c r="J13" s="18">
        <f t="shared" si="6"/>
        <v>106.01935978426997</v>
      </c>
      <c r="K13" s="61"/>
      <c r="L13" s="61"/>
    </row>
    <row r="14" spans="2:12" x14ac:dyDescent="0.25">
      <c r="B14" s="2" t="s">
        <v>2</v>
      </c>
      <c r="C14" s="8"/>
      <c r="D14" s="19">
        <f t="shared" ref="D14:J14" si="7">(D3/3.6*D3/3.6)/(D8*TAN(RADIANS(D4)))</f>
        <v>166.15451912871018</v>
      </c>
      <c r="E14" s="19">
        <f t="shared" si="7"/>
        <v>134.46695893486114</v>
      </c>
      <c r="F14" s="19">
        <f t="shared" si="7"/>
        <v>113.65638489321806</v>
      </c>
      <c r="G14" s="19">
        <f t="shared" si="7"/>
        <v>99.076930021979592</v>
      </c>
      <c r="H14" s="19">
        <f t="shared" si="7"/>
        <v>88.408973026598616</v>
      </c>
      <c r="I14" s="19">
        <f t="shared" si="7"/>
        <v>80.367200483142767</v>
      </c>
      <c r="J14" s="19">
        <f t="shared" si="7"/>
        <v>74.183936659380961</v>
      </c>
      <c r="K14" s="61"/>
      <c r="L14" s="61"/>
    </row>
    <row r="15" spans="2:12" x14ac:dyDescent="0.25">
      <c r="B15" s="2" t="s">
        <v>9</v>
      </c>
      <c r="C15" s="8"/>
      <c r="D15" s="19">
        <f t="shared" ref="D15:J15" si="8">D14*2</f>
        <v>332.30903825742035</v>
      </c>
      <c r="E15" s="19">
        <f t="shared" si="8"/>
        <v>268.93391786972228</v>
      </c>
      <c r="F15" s="19">
        <f t="shared" si="8"/>
        <v>227.31276978643612</v>
      </c>
      <c r="G15" s="19">
        <f t="shared" si="8"/>
        <v>198.15386004395918</v>
      </c>
      <c r="H15" s="19">
        <f t="shared" si="8"/>
        <v>176.81794605319723</v>
      </c>
      <c r="I15" s="19">
        <f t="shared" si="8"/>
        <v>160.73440096628553</v>
      </c>
      <c r="J15" s="19">
        <f t="shared" si="8"/>
        <v>148.36787331876192</v>
      </c>
      <c r="K15" s="61"/>
      <c r="L15" s="61"/>
    </row>
    <row r="16" spans="2:12" x14ac:dyDescent="0.25">
      <c r="B16" s="2" t="s">
        <v>8</v>
      </c>
      <c r="C16" s="8"/>
      <c r="D16" s="19">
        <f t="shared" ref="D16:J16" si="9">2*PI()*D14</f>
        <v>1043.9796333110012</v>
      </c>
      <c r="E16" s="19">
        <f t="shared" si="9"/>
        <v>844.88082068064034</v>
      </c>
      <c r="F16" s="19">
        <f t="shared" si="9"/>
        <v>714.12412762821555</v>
      </c>
      <c r="G16" s="19">
        <f t="shared" si="9"/>
        <v>622.51871099456218</v>
      </c>
      <c r="H16" s="19">
        <f t="shared" si="9"/>
        <v>555.48996034356082</v>
      </c>
      <c r="I16" s="19">
        <f t="shared" si="9"/>
        <v>504.96201325483878</v>
      </c>
      <c r="J16" s="19">
        <f t="shared" si="9"/>
        <v>466.11142084696354</v>
      </c>
      <c r="K16" s="61"/>
      <c r="L16" s="61"/>
    </row>
    <row r="17" spans="2:13" x14ac:dyDescent="0.25">
      <c r="B17" s="23" t="s">
        <v>17</v>
      </c>
      <c r="C17" s="24"/>
      <c r="D17" s="41">
        <f>0.55-D7</f>
        <v>-0.10867704082298502</v>
      </c>
      <c r="E17" s="25">
        <f>1.47-E7</f>
        <v>0.7745952014434212</v>
      </c>
      <c r="F17" s="25">
        <f>2.28-F7</f>
        <v>1.5355161127183203</v>
      </c>
      <c r="G17" s="25">
        <f>3-G7</f>
        <v>2.1907094462081487</v>
      </c>
      <c r="H17" s="25">
        <f>3.42-H7</f>
        <v>2.5251086699210958</v>
      </c>
      <c r="I17" s="25">
        <f>3.69-I7</f>
        <v>2.6809243016955424</v>
      </c>
      <c r="J17" s="50">
        <f>3.88-J7</f>
        <v>2.7157399238244091</v>
      </c>
      <c r="K17" s="61"/>
      <c r="L17" s="61"/>
    </row>
    <row r="18" spans="2:13" x14ac:dyDescent="0.25">
      <c r="B18" s="2" t="s">
        <v>3</v>
      </c>
      <c r="C18" s="8"/>
      <c r="D18" s="20">
        <f t="shared" ref="D18:J18" si="10">D16/D3*3.6</f>
        <v>42.861612881157178</v>
      </c>
      <c r="E18" s="20">
        <f t="shared" si="10"/>
        <v>34.065665862165737</v>
      </c>
      <c r="F18" s="20">
        <f t="shared" si="10"/>
        <v>28.146383287321353</v>
      </c>
      <c r="G18" s="20">
        <f t="shared" si="10"/>
        <v>23.862626533180755</v>
      </c>
      <c r="H18" s="20">
        <f t="shared" si="10"/>
        <v>20.591442546108823</v>
      </c>
      <c r="I18" s="20">
        <f t="shared" si="10"/>
        <v>17.983937510906511</v>
      </c>
      <c r="J18" s="51">
        <f t="shared" si="10"/>
        <v>15.827308507271638</v>
      </c>
      <c r="K18" s="61"/>
      <c r="L18" s="61"/>
    </row>
    <row r="19" spans="2:13" x14ac:dyDescent="0.25">
      <c r="B19" s="3" t="s">
        <v>4</v>
      </c>
      <c r="C19" s="9"/>
      <c r="D19" s="21">
        <f t="shared" ref="D19:J19" si="11">360/D18</f>
        <v>8.3991239666639608</v>
      </c>
      <c r="E19" s="21">
        <f t="shared" si="11"/>
        <v>10.567825136799275</v>
      </c>
      <c r="F19" s="21">
        <f t="shared" si="11"/>
        <v>12.790275621740836</v>
      </c>
      <c r="G19" s="21">
        <f t="shared" si="11"/>
        <v>15.086352690447693</v>
      </c>
      <c r="H19" s="21">
        <f t="shared" si="11"/>
        <v>17.482990771233236</v>
      </c>
      <c r="I19" s="21">
        <f t="shared" si="11"/>
        <v>20.017863150473858</v>
      </c>
      <c r="J19" s="21">
        <f t="shared" si="11"/>
        <v>22.745497115608948</v>
      </c>
      <c r="K19" s="61"/>
      <c r="L19" s="61"/>
    </row>
    <row r="20" spans="2:13" x14ac:dyDescent="0.25">
      <c r="C20" s="5" t="s">
        <v>12</v>
      </c>
    </row>
    <row r="22" spans="2:13" x14ac:dyDescent="0.25">
      <c r="B22" s="46" t="s">
        <v>38</v>
      </c>
    </row>
    <row r="23" spans="2:13" ht="15.75" x14ac:dyDescent="0.25">
      <c r="B23" s="55" t="s">
        <v>43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</sheetData>
  <mergeCells count="1">
    <mergeCell ref="K3:L19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zoomScaleNormal="100" workbookViewId="0">
      <selection activeCell="B23" sqref="B23"/>
    </sheetView>
  </sheetViews>
  <sheetFormatPr defaultRowHeight="15" x14ac:dyDescent="0.25"/>
  <cols>
    <col min="1" max="1" width="5.7109375" customWidth="1"/>
    <col min="2" max="2" width="21.140625" customWidth="1"/>
    <col min="3" max="3" width="12.85546875" customWidth="1"/>
  </cols>
  <sheetData>
    <row r="1" spans="2:12" ht="26.25" x14ac:dyDescent="0.4">
      <c r="E1" s="52" t="s">
        <v>50</v>
      </c>
    </row>
    <row r="2" spans="2:12" ht="18" customHeight="1" x14ac:dyDescent="0.25">
      <c r="B2" s="4" t="s">
        <v>7</v>
      </c>
      <c r="C2" s="4"/>
      <c r="D2" s="6" t="s">
        <v>5</v>
      </c>
    </row>
    <row r="3" spans="2:12" x14ac:dyDescent="0.25">
      <c r="B3" s="1" t="s">
        <v>11</v>
      </c>
      <c r="C3" s="7"/>
      <c r="D3" s="12">
        <f>D13</f>
        <v>87.685143588514833</v>
      </c>
      <c r="E3" s="12">
        <f t="shared" ref="E3:J3" si="0">E13</f>
        <v>89.2855277438847</v>
      </c>
      <c r="F3" s="12">
        <f t="shared" si="0"/>
        <v>91.338444205001068</v>
      </c>
      <c r="G3" s="12">
        <f t="shared" si="0"/>
        <v>93.915368304668434</v>
      </c>
      <c r="H3" s="12">
        <f t="shared" si="0"/>
        <v>97.116258501991908</v>
      </c>
      <c r="I3" s="56">
        <f t="shared" si="0"/>
        <v>101.08260477523129</v>
      </c>
      <c r="J3" s="48">
        <f t="shared" si="0"/>
        <v>106.01935978426997</v>
      </c>
      <c r="K3" s="60" t="s">
        <v>23</v>
      </c>
      <c r="L3" s="61"/>
    </row>
    <row r="4" spans="2:12" x14ac:dyDescent="0.25">
      <c r="B4" s="2" t="s">
        <v>6</v>
      </c>
      <c r="C4" s="8"/>
      <c r="D4" s="13">
        <v>20</v>
      </c>
      <c r="E4" s="13">
        <v>25</v>
      </c>
      <c r="F4" s="13">
        <v>30</v>
      </c>
      <c r="G4" s="13">
        <v>35</v>
      </c>
      <c r="H4" s="42">
        <v>40</v>
      </c>
      <c r="I4" s="57">
        <v>45</v>
      </c>
      <c r="J4" s="49">
        <v>50</v>
      </c>
      <c r="K4" s="61"/>
      <c r="L4" s="61"/>
    </row>
    <row r="5" spans="2:12" x14ac:dyDescent="0.25">
      <c r="B5" s="2" t="s">
        <v>13</v>
      </c>
      <c r="C5" s="8"/>
      <c r="D5" s="14">
        <v>85</v>
      </c>
      <c r="E5" s="14">
        <f>D5</f>
        <v>85</v>
      </c>
      <c r="F5" s="14">
        <f t="shared" ref="F5:J5" si="1">E5</f>
        <v>85</v>
      </c>
      <c r="G5" s="14">
        <f t="shared" si="1"/>
        <v>85</v>
      </c>
      <c r="H5" s="14">
        <f t="shared" si="1"/>
        <v>85</v>
      </c>
      <c r="I5" s="14">
        <f t="shared" si="1"/>
        <v>85</v>
      </c>
      <c r="J5" s="14">
        <f t="shared" si="1"/>
        <v>85</v>
      </c>
      <c r="K5" s="61"/>
      <c r="L5" s="61"/>
    </row>
    <row r="6" spans="2:12" ht="12.75" customHeight="1" x14ac:dyDescent="0.25">
      <c r="B6" s="2" t="s">
        <v>14</v>
      </c>
      <c r="C6" s="8"/>
      <c r="D6" s="22">
        <f>0.53*(1+D12)</f>
        <v>0.54674266002250427</v>
      </c>
      <c r="E6" s="22">
        <f t="shared" ref="E6:J6" si="2">0.53*(1+E12)</f>
        <v>0.55672152593245749</v>
      </c>
      <c r="F6" s="22">
        <f t="shared" si="2"/>
        <v>0.5695220638664773</v>
      </c>
      <c r="G6" s="22">
        <f t="shared" si="2"/>
        <v>0.58558994354675609</v>
      </c>
      <c r="H6" s="22">
        <f t="shared" si="2"/>
        <v>0.60554843536536129</v>
      </c>
      <c r="I6" s="22">
        <f t="shared" si="2"/>
        <v>0.63027977095144216</v>
      </c>
      <c r="J6" s="22">
        <f t="shared" si="2"/>
        <v>0.66106189041956565</v>
      </c>
      <c r="K6" s="61"/>
      <c r="L6" s="61"/>
    </row>
    <row r="7" spans="2:12" ht="12.75" customHeight="1" x14ac:dyDescent="0.25">
      <c r="B7" s="2" t="s">
        <v>15</v>
      </c>
      <c r="C7" s="8"/>
      <c r="D7" s="22">
        <f>D6/COS(PI()*D4/180)</f>
        <v>0.58183138606030349</v>
      </c>
      <c r="E7" s="22">
        <f t="shared" ref="E7:J7" si="3">E6/COS(PI()*E4/180)</f>
        <v>0.61427423872497788</v>
      </c>
      <c r="F7" s="22">
        <f t="shared" si="3"/>
        <v>0.65762743376548372</v>
      </c>
      <c r="G7" s="22">
        <f t="shared" si="3"/>
        <v>0.71487332251613545</v>
      </c>
      <c r="H7" s="22">
        <f t="shared" si="3"/>
        <v>0.7904873415696988</v>
      </c>
      <c r="I7" s="22">
        <f t="shared" si="3"/>
        <v>0.8913502001689374</v>
      </c>
      <c r="J7" s="22">
        <f t="shared" si="3"/>
        <v>1.0284297339551052</v>
      </c>
      <c r="K7" s="61"/>
      <c r="L7" s="61"/>
    </row>
    <row r="8" spans="2:12" x14ac:dyDescent="0.25">
      <c r="B8" s="3" t="s">
        <v>0</v>
      </c>
      <c r="C8" s="9"/>
      <c r="D8" s="15">
        <v>9.81</v>
      </c>
      <c r="E8" s="15">
        <v>9.81</v>
      </c>
      <c r="F8" s="15">
        <v>9.81</v>
      </c>
      <c r="G8" s="15">
        <v>9.81</v>
      </c>
      <c r="H8" s="15">
        <v>9.81</v>
      </c>
      <c r="I8" s="15">
        <v>9.81</v>
      </c>
      <c r="J8" s="15">
        <v>9.81</v>
      </c>
      <c r="K8" s="61"/>
      <c r="L8" s="61"/>
    </row>
    <row r="9" spans="2:12" x14ac:dyDescent="0.25">
      <c r="B9" s="11"/>
      <c r="C9" s="11"/>
      <c r="D9" s="10"/>
      <c r="E9" s="10"/>
      <c r="F9" s="10"/>
      <c r="G9" s="10"/>
      <c r="H9" s="10"/>
      <c r="I9" s="10"/>
      <c r="J9" s="10"/>
      <c r="K9" s="61"/>
      <c r="L9" s="61"/>
    </row>
    <row r="10" spans="2:12" x14ac:dyDescent="0.25">
      <c r="K10" s="61"/>
      <c r="L10" s="61"/>
    </row>
    <row r="11" spans="2:12" x14ac:dyDescent="0.25">
      <c r="B11" s="1" t="s">
        <v>1</v>
      </c>
      <c r="C11" s="7"/>
      <c r="D11" s="16">
        <f t="shared" ref="D11:J11" si="4">1/COS(RADIANS(D4))</f>
        <v>1.0641777724759121</v>
      </c>
      <c r="E11" s="16">
        <f t="shared" si="4"/>
        <v>1.1033779189624917</v>
      </c>
      <c r="F11" s="16">
        <f t="shared" si="4"/>
        <v>1.1547005383792515</v>
      </c>
      <c r="G11" s="16">
        <f t="shared" si="4"/>
        <v>1.2207745887614561</v>
      </c>
      <c r="H11" s="16">
        <f t="shared" si="4"/>
        <v>1.3054072893322786</v>
      </c>
      <c r="I11" s="16">
        <f t="shared" si="4"/>
        <v>1.4142135623730949</v>
      </c>
      <c r="J11" s="16">
        <f t="shared" si="4"/>
        <v>1.5557238268604123</v>
      </c>
      <c r="K11" s="61"/>
      <c r="L11" s="61"/>
    </row>
    <row r="12" spans="2:12" x14ac:dyDescent="0.25">
      <c r="B12" s="2" t="s">
        <v>10</v>
      </c>
      <c r="C12" s="8"/>
      <c r="D12" s="17">
        <f t="shared" ref="D12:J12" si="5">POWER(D11,0.5)-1</f>
        <v>3.1589924570762706E-2</v>
      </c>
      <c r="E12" s="17">
        <f t="shared" si="5"/>
        <v>5.0417973457467014E-2</v>
      </c>
      <c r="F12" s="17">
        <f t="shared" si="5"/>
        <v>7.4569931823541991E-2</v>
      </c>
      <c r="G12" s="17">
        <f t="shared" si="5"/>
        <v>0.10488668593727568</v>
      </c>
      <c r="H12" s="17">
        <f t="shared" si="5"/>
        <v>0.14254421767049297</v>
      </c>
      <c r="I12" s="17">
        <f t="shared" si="5"/>
        <v>0.18920711500272103</v>
      </c>
      <c r="J12" s="17">
        <f t="shared" si="5"/>
        <v>0.24728658569729367</v>
      </c>
      <c r="K12" s="61"/>
      <c r="L12" s="61"/>
    </row>
    <row r="13" spans="2:12" ht="18" customHeight="1" x14ac:dyDescent="0.25">
      <c r="B13" s="2" t="s">
        <v>16</v>
      </c>
      <c r="C13" s="8"/>
      <c r="D13" s="18">
        <f t="shared" ref="D13:J13" si="6">D5+D5*D12</f>
        <v>87.685143588514833</v>
      </c>
      <c r="E13" s="18">
        <f t="shared" si="6"/>
        <v>89.2855277438847</v>
      </c>
      <c r="F13" s="18">
        <f t="shared" si="6"/>
        <v>91.338444205001068</v>
      </c>
      <c r="G13" s="18">
        <f t="shared" si="6"/>
        <v>93.915368304668434</v>
      </c>
      <c r="H13" s="18">
        <f t="shared" si="6"/>
        <v>97.116258501991908</v>
      </c>
      <c r="I13" s="18">
        <f t="shared" si="6"/>
        <v>101.08260477523129</v>
      </c>
      <c r="J13" s="18">
        <f t="shared" si="6"/>
        <v>106.01935978426997</v>
      </c>
      <c r="K13" s="61"/>
      <c r="L13" s="61"/>
    </row>
    <row r="14" spans="2:12" x14ac:dyDescent="0.25">
      <c r="B14" s="2" t="s">
        <v>2</v>
      </c>
      <c r="C14" s="8"/>
      <c r="D14" s="19">
        <f t="shared" ref="D14:J14" si="7">(D3/3.6*D3/3.6)/(D8*TAN(RADIANS(D4)))</f>
        <v>166.15451912871018</v>
      </c>
      <c r="E14" s="19">
        <f t="shared" si="7"/>
        <v>134.46695893486114</v>
      </c>
      <c r="F14" s="19">
        <f t="shared" si="7"/>
        <v>113.65638489321806</v>
      </c>
      <c r="G14" s="19">
        <f t="shared" si="7"/>
        <v>99.076930021979592</v>
      </c>
      <c r="H14" s="19">
        <f t="shared" si="7"/>
        <v>88.408973026598616</v>
      </c>
      <c r="I14" s="19">
        <f t="shared" si="7"/>
        <v>80.367200483142767</v>
      </c>
      <c r="J14" s="19">
        <f t="shared" si="7"/>
        <v>74.183936659380961</v>
      </c>
      <c r="K14" s="61"/>
      <c r="L14" s="61"/>
    </row>
    <row r="15" spans="2:12" x14ac:dyDescent="0.25">
      <c r="B15" s="2" t="s">
        <v>9</v>
      </c>
      <c r="C15" s="8"/>
      <c r="D15" s="19">
        <f t="shared" ref="D15:J15" si="8">D14*2</f>
        <v>332.30903825742035</v>
      </c>
      <c r="E15" s="19">
        <f t="shared" si="8"/>
        <v>268.93391786972228</v>
      </c>
      <c r="F15" s="19">
        <f t="shared" si="8"/>
        <v>227.31276978643612</v>
      </c>
      <c r="G15" s="19">
        <f t="shared" si="8"/>
        <v>198.15386004395918</v>
      </c>
      <c r="H15" s="19">
        <f t="shared" si="8"/>
        <v>176.81794605319723</v>
      </c>
      <c r="I15" s="19">
        <f t="shared" si="8"/>
        <v>160.73440096628553</v>
      </c>
      <c r="J15" s="19">
        <f t="shared" si="8"/>
        <v>148.36787331876192</v>
      </c>
      <c r="K15" s="61"/>
      <c r="L15" s="61"/>
    </row>
    <row r="16" spans="2:12" x14ac:dyDescent="0.25">
      <c r="B16" s="2" t="s">
        <v>8</v>
      </c>
      <c r="C16" s="8"/>
      <c r="D16" s="19">
        <f t="shared" ref="D16:J16" si="9">2*PI()*D14</f>
        <v>1043.9796333110012</v>
      </c>
      <c r="E16" s="19">
        <f t="shared" si="9"/>
        <v>844.88082068064034</v>
      </c>
      <c r="F16" s="19">
        <f t="shared" si="9"/>
        <v>714.12412762821555</v>
      </c>
      <c r="G16" s="19">
        <f t="shared" si="9"/>
        <v>622.51871099456218</v>
      </c>
      <c r="H16" s="19">
        <f t="shared" si="9"/>
        <v>555.48996034356082</v>
      </c>
      <c r="I16" s="19">
        <f t="shared" si="9"/>
        <v>504.96201325483878</v>
      </c>
      <c r="J16" s="19">
        <f t="shared" si="9"/>
        <v>466.11142084696354</v>
      </c>
      <c r="K16" s="61"/>
      <c r="L16" s="61"/>
    </row>
    <row r="17" spans="2:12" x14ac:dyDescent="0.25">
      <c r="B17" s="23" t="s">
        <v>17</v>
      </c>
      <c r="C17" s="24"/>
      <c r="D17" s="41">
        <f>0.55-D7</f>
        <v>-3.1831386060303446E-2</v>
      </c>
      <c r="E17" s="25">
        <f>1.47-E7</f>
        <v>0.85572576127502209</v>
      </c>
      <c r="F17" s="25">
        <f>2.28-F7</f>
        <v>1.6223725662345161</v>
      </c>
      <c r="G17" s="25">
        <f>3-G7</f>
        <v>2.2851266774838646</v>
      </c>
      <c r="H17" s="25">
        <f>3.42-H7</f>
        <v>2.629512658430301</v>
      </c>
      <c r="I17" s="62">
        <f>3.69-I7</f>
        <v>2.7986497998310624</v>
      </c>
      <c r="J17" s="50">
        <f>3.88-J7</f>
        <v>2.8515702660448947</v>
      </c>
      <c r="K17" s="61"/>
      <c r="L17" s="61"/>
    </row>
    <row r="18" spans="2:12" x14ac:dyDescent="0.25">
      <c r="B18" s="2" t="s">
        <v>3</v>
      </c>
      <c r="C18" s="8"/>
      <c r="D18" s="20">
        <f t="shared" ref="D18:J18" si="10">D16/D3*3.6</f>
        <v>42.861612881157178</v>
      </c>
      <c r="E18" s="20">
        <f t="shared" si="10"/>
        <v>34.065665862165737</v>
      </c>
      <c r="F18" s="20">
        <f t="shared" si="10"/>
        <v>28.146383287321353</v>
      </c>
      <c r="G18" s="20">
        <f t="shared" si="10"/>
        <v>23.862626533180755</v>
      </c>
      <c r="H18" s="20">
        <f t="shared" si="10"/>
        <v>20.591442546108823</v>
      </c>
      <c r="I18" s="59">
        <f t="shared" si="10"/>
        <v>17.983937510906511</v>
      </c>
      <c r="J18" s="51">
        <f t="shared" si="10"/>
        <v>15.827308507271638</v>
      </c>
      <c r="K18" s="61"/>
      <c r="L18" s="61"/>
    </row>
    <row r="19" spans="2:12" x14ac:dyDescent="0.25">
      <c r="B19" s="3" t="s">
        <v>4</v>
      </c>
      <c r="C19" s="9"/>
      <c r="D19" s="21">
        <f t="shared" ref="D19:J19" si="11">360/D18</f>
        <v>8.3991239666639608</v>
      </c>
      <c r="E19" s="21">
        <f t="shared" si="11"/>
        <v>10.567825136799275</v>
      </c>
      <c r="F19" s="21">
        <f t="shared" si="11"/>
        <v>12.790275621740836</v>
      </c>
      <c r="G19" s="21">
        <f t="shared" si="11"/>
        <v>15.086352690447693</v>
      </c>
      <c r="H19" s="21">
        <f t="shared" si="11"/>
        <v>17.482990771233236</v>
      </c>
      <c r="I19" s="21">
        <f t="shared" si="11"/>
        <v>20.017863150473858</v>
      </c>
      <c r="J19" s="21">
        <f t="shared" si="11"/>
        <v>22.745497115608948</v>
      </c>
      <c r="K19" s="61"/>
      <c r="L19" s="61"/>
    </row>
    <row r="20" spans="2:12" x14ac:dyDescent="0.25">
      <c r="C20" s="5" t="s">
        <v>12</v>
      </c>
    </row>
    <row r="22" spans="2:12" x14ac:dyDescent="0.25">
      <c r="B22" s="46" t="s">
        <v>51</v>
      </c>
    </row>
  </sheetData>
  <mergeCells count="1">
    <mergeCell ref="K3:L19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showGridLines="0" zoomScaleNormal="100" workbookViewId="0">
      <selection activeCell="B23" sqref="B23"/>
    </sheetView>
  </sheetViews>
  <sheetFormatPr defaultRowHeight="15" x14ac:dyDescent="0.25"/>
  <cols>
    <col min="1" max="1" width="5.7109375" customWidth="1"/>
    <col min="2" max="2" width="21.140625" customWidth="1"/>
    <col min="3" max="3" width="12.85546875" customWidth="1"/>
  </cols>
  <sheetData>
    <row r="1" spans="2:13" ht="26.25" x14ac:dyDescent="0.4">
      <c r="E1" s="52" t="s">
        <v>52</v>
      </c>
    </row>
    <row r="2" spans="2:13" ht="18" customHeight="1" x14ac:dyDescent="0.25">
      <c r="B2" s="4" t="s">
        <v>7</v>
      </c>
      <c r="C2" s="4"/>
      <c r="D2" s="6" t="s">
        <v>5</v>
      </c>
    </row>
    <row r="3" spans="2:13" x14ac:dyDescent="0.25">
      <c r="B3" s="1" t="s">
        <v>11</v>
      </c>
      <c r="C3" s="7"/>
      <c r="D3" s="12">
        <f>D13</f>
        <v>100.06422268336398</v>
      </c>
      <c r="E3" s="12">
        <f t="shared" ref="E3:J3" si="0">E13</f>
        <v>101.8905434253743</v>
      </c>
      <c r="F3" s="12">
        <f t="shared" si="0"/>
        <v>104.23328338688357</v>
      </c>
      <c r="G3" s="12">
        <f t="shared" si="0"/>
        <v>107.17400853591575</v>
      </c>
      <c r="H3" s="12">
        <f t="shared" si="0"/>
        <v>110.82678911403782</v>
      </c>
      <c r="I3" s="56">
        <f t="shared" si="0"/>
        <v>115.35309015526394</v>
      </c>
      <c r="J3" s="48">
        <f t="shared" si="0"/>
        <v>120.98679881263749</v>
      </c>
      <c r="K3" s="48">
        <f t="shared" ref="K3" si="1">K13</f>
        <v>128.0784560337878</v>
      </c>
      <c r="L3" s="60" t="s">
        <v>23</v>
      </c>
      <c r="M3" s="61"/>
    </row>
    <row r="4" spans="2:13" x14ac:dyDescent="0.25">
      <c r="B4" s="2" t="s">
        <v>6</v>
      </c>
      <c r="C4" s="8"/>
      <c r="D4" s="13">
        <v>20</v>
      </c>
      <c r="E4" s="13">
        <v>25</v>
      </c>
      <c r="F4" s="13">
        <v>30</v>
      </c>
      <c r="G4" s="13">
        <v>35</v>
      </c>
      <c r="H4" s="42">
        <v>40</v>
      </c>
      <c r="I4" s="57">
        <v>45</v>
      </c>
      <c r="J4" s="49">
        <v>50</v>
      </c>
      <c r="K4" s="49">
        <v>55</v>
      </c>
      <c r="L4" s="61"/>
      <c r="M4" s="61"/>
    </row>
    <row r="5" spans="2:13" x14ac:dyDescent="0.25">
      <c r="B5" s="2" t="s">
        <v>13</v>
      </c>
      <c r="C5" s="8"/>
      <c r="D5" s="14">
        <v>97</v>
      </c>
      <c r="E5" s="14">
        <f>D5</f>
        <v>97</v>
      </c>
      <c r="F5" s="14">
        <f t="shared" ref="F5:K5" si="2">E5</f>
        <v>97</v>
      </c>
      <c r="G5" s="14">
        <f t="shared" si="2"/>
        <v>97</v>
      </c>
      <c r="H5" s="14">
        <f t="shared" si="2"/>
        <v>97</v>
      </c>
      <c r="I5" s="14">
        <f t="shared" si="2"/>
        <v>97</v>
      </c>
      <c r="J5" s="14">
        <f t="shared" si="2"/>
        <v>97</v>
      </c>
      <c r="K5" s="14">
        <f t="shared" si="2"/>
        <v>97</v>
      </c>
      <c r="L5" s="61"/>
      <c r="M5" s="61"/>
    </row>
    <row r="6" spans="2:13" ht="12.75" customHeight="1" x14ac:dyDescent="0.25">
      <c r="B6" s="2" t="s">
        <v>14</v>
      </c>
      <c r="C6" s="8"/>
      <c r="D6" s="22">
        <f>0.7*(1+D12)</f>
        <v>0.72211294719953389</v>
      </c>
      <c r="E6" s="22">
        <f t="shared" ref="E6:J6" si="3">0.7*(1+E12)</f>
        <v>0.73529258142022691</v>
      </c>
      <c r="F6" s="22">
        <f t="shared" si="3"/>
        <v>0.75219895227647937</v>
      </c>
      <c r="G6" s="22">
        <f t="shared" si="3"/>
        <v>0.77342068015609289</v>
      </c>
      <c r="H6" s="22">
        <f t="shared" si="3"/>
        <v>0.79978095236934499</v>
      </c>
      <c r="I6" s="22">
        <f t="shared" si="3"/>
        <v>0.83244498050190463</v>
      </c>
      <c r="J6" s="22">
        <f t="shared" si="3"/>
        <v>0.87310060998810557</v>
      </c>
      <c r="K6" s="22">
        <f t="shared" ref="K6" si="4">0.7*(1+K12)</f>
        <v>0.92427751776960254</v>
      </c>
      <c r="L6" s="61"/>
      <c r="M6" s="61"/>
    </row>
    <row r="7" spans="2:13" ht="12.75" customHeight="1" x14ac:dyDescent="0.25">
      <c r="B7" s="2" t="s">
        <v>15</v>
      </c>
      <c r="C7" s="8"/>
      <c r="D7" s="22">
        <f>D6/COS(PI()*D4/180)</f>
        <v>0.76845654762681592</v>
      </c>
      <c r="E7" s="22">
        <f t="shared" ref="E7:J7" si="5">E6/COS(PI()*E4/180)</f>
        <v>0.81130559831600857</v>
      </c>
      <c r="F7" s="22">
        <f t="shared" si="5"/>
        <v>0.86856453516195964</v>
      </c>
      <c r="G7" s="22">
        <f t="shared" si="5"/>
        <v>0.94417231275715996</v>
      </c>
      <c r="H7" s="22">
        <f t="shared" si="5"/>
        <v>1.0440398850920549</v>
      </c>
      <c r="I7" s="22">
        <f t="shared" si="5"/>
        <v>1.1772549813552</v>
      </c>
      <c r="J7" s="22">
        <f t="shared" si="5"/>
        <v>1.3583034222048558</v>
      </c>
      <c r="K7" s="22">
        <f t="shared" ref="K7" si="6">K6/COS(PI()*K4/180)</f>
        <v>1.6114286766200359</v>
      </c>
      <c r="L7" s="61"/>
      <c r="M7" s="61"/>
    </row>
    <row r="8" spans="2:13" x14ac:dyDescent="0.25">
      <c r="B8" s="3" t="s">
        <v>0</v>
      </c>
      <c r="C8" s="9"/>
      <c r="D8" s="15">
        <v>9.81</v>
      </c>
      <c r="E8" s="15">
        <v>9.81</v>
      </c>
      <c r="F8" s="15">
        <v>9.81</v>
      </c>
      <c r="G8" s="15">
        <v>9.81</v>
      </c>
      <c r="H8" s="15">
        <v>9.81</v>
      </c>
      <c r="I8" s="15">
        <v>9.81</v>
      </c>
      <c r="J8" s="15">
        <v>9.81</v>
      </c>
      <c r="K8" s="15">
        <v>9.81</v>
      </c>
      <c r="L8" s="61"/>
      <c r="M8" s="61"/>
    </row>
    <row r="9" spans="2:13" x14ac:dyDescent="0.25">
      <c r="B9" s="11"/>
      <c r="C9" s="11"/>
      <c r="D9" s="10"/>
      <c r="E9" s="10"/>
      <c r="F9" s="10"/>
      <c r="G9" s="10"/>
      <c r="H9" s="10"/>
      <c r="I9" s="10"/>
      <c r="J9" s="10"/>
      <c r="K9" s="10"/>
      <c r="L9" s="61"/>
      <c r="M9" s="61"/>
    </row>
    <row r="10" spans="2:13" x14ac:dyDescent="0.25">
      <c r="L10" s="61"/>
      <c r="M10" s="61"/>
    </row>
    <row r="11" spans="2:13" x14ac:dyDescent="0.25">
      <c r="B11" s="1" t="s">
        <v>1</v>
      </c>
      <c r="C11" s="7"/>
      <c r="D11" s="16">
        <f t="shared" ref="D11:J11" si="7">1/COS(RADIANS(D4))</f>
        <v>1.0641777724759121</v>
      </c>
      <c r="E11" s="16">
        <f t="shared" si="7"/>
        <v>1.1033779189624917</v>
      </c>
      <c r="F11" s="16">
        <f t="shared" si="7"/>
        <v>1.1547005383792515</v>
      </c>
      <c r="G11" s="16">
        <f t="shared" si="7"/>
        <v>1.2207745887614561</v>
      </c>
      <c r="H11" s="16">
        <f t="shared" si="7"/>
        <v>1.3054072893322786</v>
      </c>
      <c r="I11" s="16">
        <f t="shared" si="7"/>
        <v>1.4142135623730949</v>
      </c>
      <c r="J11" s="16">
        <f t="shared" si="7"/>
        <v>1.5557238268604123</v>
      </c>
      <c r="K11" s="16">
        <f t="shared" ref="K11" si="8">1/COS(RADIANS(K4))</f>
        <v>1.7434467956210977</v>
      </c>
      <c r="L11" s="61"/>
      <c r="M11" s="61"/>
    </row>
    <row r="12" spans="2:13" x14ac:dyDescent="0.25">
      <c r="B12" s="2" t="s">
        <v>10</v>
      </c>
      <c r="C12" s="8"/>
      <c r="D12" s="17">
        <f t="shared" ref="D12:J12" si="9">POWER(D11,0.5)-1</f>
        <v>3.1589924570762706E-2</v>
      </c>
      <c r="E12" s="17">
        <f t="shared" si="9"/>
        <v>5.0417973457467014E-2</v>
      </c>
      <c r="F12" s="17">
        <f t="shared" si="9"/>
        <v>7.4569931823541991E-2</v>
      </c>
      <c r="G12" s="17">
        <f t="shared" si="9"/>
        <v>0.10488668593727568</v>
      </c>
      <c r="H12" s="17">
        <f t="shared" si="9"/>
        <v>0.14254421767049297</v>
      </c>
      <c r="I12" s="17">
        <f t="shared" si="9"/>
        <v>0.18920711500272103</v>
      </c>
      <c r="J12" s="17">
        <f t="shared" si="9"/>
        <v>0.24728658569729367</v>
      </c>
      <c r="K12" s="17">
        <f t="shared" ref="K12" si="10">POWER(K11,0.5)-1</f>
        <v>0.32039645395657512</v>
      </c>
      <c r="L12" s="61"/>
      <c r="M12" s="61"/>
    </row>
    <row r="13" spans="2:13" ht="18" customHeight="1" x14ac:dyDescent="0.25">
      <c r="B13" s="2" t="s">
        <v>16</v>
      </c>
      <c r="C13" s="8"/>
      <c r="D13" s="18">
        <f t="shared" ref="D13:J13" si="11">D5+D5*D12</f>
        <v>100.06422268336398</v>
      </c>
      <c r="E13" s="18">
        <f t="shared" si="11"/>
        <v>101.8905434253743</v>
      </c>
      <c r="F13" s="18">
        <f t="shared" si="11"/>
        <v>104.23328338688357</v>
      </c>
      <c r="G13" s="18">
        <f t="shared" si="11"/>
        <v>107.17400853591575</v>
      </c>
      <c r="H13" s="18">
        <f t="shared" si="11"/>
        <v>110.82678911403782</v>
      </c>
      <c r="I13" s="18">
        <f t="shared" si="11"/>
        <v>115.35309015526394</v>
      </c>
      <c r="J13" s="18">
        <f t="shared" si="11"/>
        <v>120.98679881263749</v>
      </c>
      <c r="K13" s="18">
        <f t="shared" ref="K13" si="12">K5+K5*K12</f>
        <v>128.0784560337878</v>
      </c>
      <c r="L13" s="61"/>
      <c r="M13" s="61"/>
    </row>
    <row r="14" spans="2:13" x14ac:dyDescent="0.25">
      <c r="B14" s="2" t="s">
        <v>2</v>
      </c>
      <c r="C14" s="8"/>
      <c r="D14" s="19">
        <f t="shared" ref="D14:J14" si="13">(D3/3.6*D3/3.6)/(D8*TAN(RADIANS(D4)))</f>
        <v>216.38032809439912</v>
      </c>
      <c r="E14" s="19">
        <f t="shared" si="13"/>
        <v>175.11413378797354</v>
      </c>
      <c r="F14" s="19">
        <f t="shared" si="13"/>
        <v>148.0128616554033</v>
      </c>
      <c r="G14" s="19">
        <f t="shared" si="13"/>
        <v>129.02627468191088</v>
      </c>
      <c r="H14" s="19">
        <f t="shared" si="13"/>
        <v>115.13356777955242</v>
      </c>
      <c r="I14" s="19">
        <f t="shared" si="13"/>
        <v>104.66089817936196</v>
      </c>
      <c r="J14" s="19">
        <f t="shared" si="13"/>
        <v>96.608534259946779</v>
      </c>
      <c r="K14" s="19">
        <f t="shared" ref="K14" si="14">(K3/3.6*K3/3.6)/(K8*TAN(RADIANS(K4)))</f>
        <v>90.345170159390619</v>
      </c>
      <c r="L14" s="61"/>
      <c r="M14" s="61"/>
    </row>
    <row r="15" spans="2:13" x14ac:dyDescent="0.25">
      <c r="B15" s="2" t="s">
        <v>9</v>
      </c>
      <c r="C15" s="8"/>
      <c r="D15" s="19">
        <f t="shared" ref="D15:J15" si="15">D14*2</f>
        <v>432.76065618879824</v>
      </c>
      <c r="E15" s="19">
        <f t="shared" si="15"/>
        <v>350.22826757594709</v>
      </c>
      <c r="F15" s="19">
        <f t="shared" si="15"/>
        <v>296.0257233108066</v>
      </c>
      <c r="G15" s="19">
        <f t="shared" si="15"/>
        <v>258.05254936382175</v>
      </c>
      <c r="H15" s="19">
        <f t="shared" si="15"/>
        <v>230.26713555910484</v>
      </c>
      <c r="I15" s="19">
        <f t="shared" si="15"/>
        <v>209.32179635872393</v>
      </c>
      <c r="J15" s="19">
        <f t="shared" si="15"/>
        <v>193.21706851989356</v>
      </c>
      <c r="K15" s="19">
        <f t="shared" ref="K15" si="16">K14*2</f>
        <v>180.69034031878124</v>
      </c>
      <c r="L15" s="61"/>
      <c r="M15" s="61"/>
    </row>
    <row r="16" spans="2:13" x14ac:dyDescent="0.25">
      <c r="B16" s="2" t="s">
        <v>8</v>
      </c>
      <c r="C16" s="8"/>
      <c r="D16" s="19">
        <f t="shared" ref="D16:J16" si="17">2*PI()*D14</f>
        <v>1359.5576982454268</v>
      </c>
      <c r="E16" s="19">
        <f t="shared" si="17"/>
        <v>1100.2745524960758</v>
      </c>
      <c r="F16" s="19">
        <f t="shared" si="17"/>
        <v>929.99223762683482</v>
      </c>
      <c r="G16" s="19">
        <f t="shared" si="17"/>
        <v>810.69599332149983</v>
      </c>
      <c r="H16" s="19">
        <f t="shared" si="17"/>
        <v>723.40554143564884</v>
      </c>
      <c r="I16" s="19">
        <f t="shared" si="17"/>
        <v>657.60381767678575</v>
      </c>
      <c r="J16" s="19">
        <f t="shared" si="17"/>
        <v>607.0093230102533</v>
      </c>
      <c r="K16" s="19">
        <f t="shared" ref="K16" si="18">2*PI()*K14</f>
        <v>567.65544572012277</v>
      </c>
      <c r="L16" s="61"/>
      <c r="M16" s="61"/>
    </row>
    <row r="17" spans="2:13" x14ac:dyDescent="0.25">
      <c r="B17" s="23" t="s">
        <v>17</v>
      </c>
      <c r="C17" s="24"/>
      <c r="D17" s="41">
        <f>-0.23-D7</f>
        <v>-0.9984565476268159</v>
      </c>
      <c r="E17" s="41">
        <f>0.36-E7</f>
        <v>-0.45130559831600858</v>
      </c>
      <c r="F17" s="41">
        <f>1.02-F7</f>
        <v>0.15143546483804038</v>
      </c>
      <c r="G17" s="25">
        <f>1.65-G7</f>
        <v>0.70582768724283995</v>
      </c>
      <c r="H17" s="25">
        <f>2.23-H7</f>
        <v>1.1859601149079451</v>
      </c>
      <c r="I17" s="62">
        <f>2.7-I7</f>
        <v>1.5227450186448002</v>
      </c>
      <c r="J17" s="50">
        <f>3.08-J7</f>
        <v>1.7216965777951443</v>
      </c>
      <c r="K17" s="50">
        <f>3.35-K7</f>
        <v>1.7385713233799642</v>
      </c>
      <c r="L17" s="61"/>
      <c r="M17" s="61"/>
    </row>
    <row r="18" spans="2:13" x14ac:dyDescent="0.25">
      <c r="B18" s="2" t="s">
        <v>3</v>
      </c>
      <c r="C18" s="8"/>
      <c r="D18" s="20">
        <f t="shared" ref="D18:J18" si="19">D16/D3*3.6</f>
        <v>48.91266411143819</v>
      </c>
      <c r="E18" s="20">
        <f t="shared" si="19"/>
        <v>38.874936336824447</v>
      </c>
      <c r="F18" s="20">
        <f t="shared" si="19"/>
        <v>32.119990339649085</v>
      </c>
      <c r="G18" s="20">
        <f t="shared" si="19"/>
        <v>27.231467926100393</v>
      </c>
      <c r="H18" s="20">
        <f t="shared" si="19"/>
        <v>23.498469729088889</v>
      </c>
      <c r="I18" s="59">
        <f t="shared" si="19"/>
        <v>20.522846335975661</v>
      </c>
      <c r="J18" s="51">
        <f t="shared" si="19"/>
        <v>18.061752061239403</v>
      </c>
      <c r="K18" s="51">
        <f t="shared" ref="K18" si="20">K16/K3*3.6</f>
        <v>15.955529664203164</v>
      </c>
      <c r="L18" s="61"/>
      <c r="M18" s="61"/>
    </row>
    <row r="19" spans="2:13" x14ac:dyDescent="0.25">
      <c r="B19" s="3" t="s">
        <v>4</v>
      </c>
      <c r="C19" s="9"/>
      <c r="D19" s="21">
        <f t="shared" ref="D19:J19" si="21">360/D18</f>
        <v>7.3600570841900694</v>
      </c>
      <c r="E19" s="21">
        <f t="shared" si="21"/>
        <v>9.2604653260612153</v>
      </c>
      <c r="F19" s="21">
        <f t="shared" si="21"/>
        <v>11.20797348296877</v>
      </c>
      <c r="G19" s="21">
        <f t="shared" si="21"/>
        <v>13.219999780289214</v>
      </c>
      <c r="H19" s="21">
        <f t="shared" si="21"/>
        <v>15.320146552111602</v>
      </c>
      <c r="I19" s="21">
        <f t="shared" si="21"/>
        <v>17.541426472064725</v>
      </c>
      <c r="J19" s="21">
        <f t="shared" si="21"/>
        <v>19.931621183781033</v>
      </c>
      <c r="K19" s="21">
        <f t="shared" ref="K19" si="22">360/K18</f>
        <v>22.562710707603376</v>
      </c>
      <c r="L19" s="61"/>
      <c r="M19" s="61"/>
    </row>
    <row r="20" spans="2:13" x14ac:dyDescent="0.25">
      <c r="C20" s="5" t="s">
        <v>12</v>
      </c>
    </row>
    <row r="22" spans="2:13" x14ac:dyDescent="0.25">
      <c r="B22" s="46" t="s">
        <v>53</v>
      </c>
    </row>
  </sheetData>
  <mergeCells count="1">
    <mergeCell ref="L3:M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stoupání</vt:lpstr>
      <vt:lpstr>ASW15B</vt:lpstr>
      <vt:lpstr>Std Cirrus</vt:lpstr>
      <vt:lpstr>Astir CS G-102</vt:lpstr>
      <vt:lpstr>Nimbus 2 bez vody</vt:lpstr>
      <vt:lpstr>Nimbus 2 voda</vt:lpstr>
      <vt:lpstr>Duodiscus 2 bez vody</vt:lpstr>
      <vt:lpstr>Duodiscus s vodou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</dc:creator>
  <cp:lastModifiedBy>Ivan Harašta</cp:lastModifiedBy>
  <dcterms:created xsi:type="dcterms:W3CDTF">2011-08-25T22:05:39Z</dcterms:created>
  <dcterms:modified xsi:type="dcterms:W3CDTF">2012-02-19T23:08:22Z</dcterms:modified>
</cp:coreProperties>
</file>